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D:\Users\jenny\Documents\MyWebs\Pflege Websites\HP Marcel Bouvrot\Dateien zu HP MB\Zins-und Vorsorgerechner\"/>
    </mc:Choice>
  </mc:AlternateContent>
  <xr:revisionPtr revIDLastSave="0" documentId="13_ncr:1_{65F8C8D8-5349-4642-9AC7-83A245BB79E3}" xr6:coauthVersionLast="47" xr6:coauthVersionMax="47" xr10:uidLastSave="{00000000-0000-0000-0000-000000000000}"/>
  <bookViews>
    <workbookView showHorizontalScroll="0" showVerticalScroll="0" showSheetTabs="0" xWindow="480" yWindow="0" windowWidth="22080" windowHeight="12240" tabRatio="743" xr2:uid="{986D8EF9-F6FC-46AF-8990-6E219E88529D}"/>
  </bookViews>
  <sheets>
    <sheet name="Eingabe" sheetId="2" r:id="rId1"/>
    <sheet name="Details" sheetId="34" r:id="rId2"/>
    <sheet name="Kredit mit Sondertilgung" sheetId="36" r:id="rId3"/>
    <sheet name="Hilfe" sheetId="40" r:id="rId4"/>
    <sheet name="Formeln" sheetId="1" r:id="rId5"/>
    <sheet name="Kontrolle" sheetId="38" r:id="rId6"/>
  </sheets>
  <definedNames>
    <definedName name="Anf_Sld">#REF!</definedName>
    <definedName name="Anzahl_Zahlungen">MATCH(0.01,End_Sld,-1)+1</definedName>
    <definedName name="Anzahl_Zahlungen_pro_Jahr">#REF!</definedName>
    <definedName name="Beg_Bal">'Kredit mit Sondertilgung'!$C$18:$C$377</definedName>
    <definedName name="Beginning_Balance">-FV(Interest_Rate/12,Payment_Number-1,-Monthly_Payment,Loan_Amount)</definedName>
    <definedName name="Betrag">#REF!</definedName>
    <definedName name="Data">'Kredit mit Sondertilgung'!$A$18:$J$377</definedName>
    <definedName name="Daten">#REF!</definedName>
    <definedName name="_xlnm.Print_Area" localSheetId="1">Details!$B$1:$F$611</definedName>
    <definedName name="_xlnm.Print_Area" localSheetId="0">Eingabe!$B$2:$J$19</definedName>
    <definedName name="_xlnm.Print_Area" localSheetId="2">'Kredit mit Sondertilgung'!$A$1:$J$377</definedName>
    <definedName name="Druckbereich_Zurücksetzen">OFFSET(Volldruck,0,0,Letzte_Zeile)</definedName>
    <definedName name="_xlnm.Print_Titles" localSheetId="2">'Kredit mit Sondertilgung'!$17:$17</definedName>
    <definedName name="Eingegebene_Werte">IF(Kreditbetrag*#N/A*Kreditjahre*Kreditbeginn&gt;0,1,0)</definedName>
    <definedName name="End_Bal">'Kredit mit Sondertilgung'!$J$18:$J$377</definedName>
    <definedName name="End_Sld">#REF!</definedName>
    <definedName name="Ending_Balance">-FV(Interest_Rate/12,Payment_Number,-Monthly_Payment,Loan_Amount)</definedName>
    <definedName name="Extra_Pay">'Kredit mit Sondertilgung'!$E$18:$E$377</definedName>
    <definedName name="Formelrücksetzung">'Kredit mit Sondertilgung'!#REF!</definedName>
    <definedName name="Full_Print" localSheetId="2">'Kredit mit Sondertilgung'!$A$1:$J$377</definedName>
    <definedName name="Full_Print">#REF!</definedName>
    <definedName name="Gepl_Zhlg">#REF!</definedName>
    <definedName name="Geplante_Monatliche_Zahlung">#REF!</definedName>
    <definedName name="Geplante_Zusatzzahlungen">#REF!</definedName>
    <definedName name="Geplanter_Zinssatz">#REF!</definedName>
    <definedName name="Header_Row" localSheetId="2">ROW('Kredit mit Sondertilgung'!$17:$17)</definedName>
    <definedName name="Header_Row">ROW(#REF!)</definedName>
    <definedName name="Header_Row_Back">ROW(#REF!)</definedName>
    <definedName name="Int">'Kredit mit Sondertilgung'!$I$18:$I$377</definedName>
    <definedName name="Interest">-IPMT(Interest_Rate/12,Payment_Number,Number_of_Payments,Loan_Amount)</definedName>
    <definedName name="Interest_Rate" localSheetId="2">'Kredit mit Sondertilgung'!$D$5</definedName>
    <definedName name="Interest_Rate">#REF!</definedName>
    <definedName name="Kopfzeile">ROW(#REF!)</definedName>
    <definedName name="Kreditbeginn">#REF!</definedName>
    <definedName name="Kreditbetrag">#REF!</definedName>
    <definedName name="Kreditjahre">#REF!</definedName>
    <definedName name="Kum_Zns">#REF!</definedName>
    <definedName name="Last_Row" localSheetId="2">IF('Kredit mit Sondertilgung'!Values_Entered,'Kredit mit Sondertilgung'!Header_Row+'Kredit mit Sondertilgung'!Number_of_Payments,'Kredit mit Sondertilgung'!Header_Row)</definedName>
    <definedName name="Last_Row">IF(Values_Entered,Header_Row+Number_of_Payments,Header_Row)</definedName>
    <definedName name="Letzte_Zeile">IF(Eingegebene_Werte,Kopfzeile+Anzahl_Zahlungen,Kopfzeile)</definedName>
    <definedName name="Loan_Amount" localSheetId="2">'Kredit mit Sondertilgung'!$D$4</definedName>
    <definedName name="Loan_Amount">#REF!</definedName>
    <definedName name="Loan_Not_Paid">IF(Payment_Number&lt;=Number_of_Payments,1,0)</definedName>
    <definedName name="Loan_Start" localSheetId="2">'Kredit mit Sondertilgung'!$D$7</definedName>
    <definedName name="Loan_Start">#REF!</definedName>
    <definedName name="Loan_Years" localSheetId="2">'Kredit mit Sondertilgung'!$D$6</definedName>
    <definedName name="Loan_Years">#REF!</definedName>
    <definedName name="Monthly_Payment">-PMT(Interest_Rate/12,Number_of_Payments,Loan_Amount)</definedName>
    <definedName name="Number_of_Payments" localSheetId="2">MATCH(0.01,End_Bal,-1)+1</definedName>
    <definedName name="Number_of_Payments">#REF!</definedName>
    <definedName name="Pay_Date">'Kredit mit Sondertilgung'!$B$18:$B$377</definedName>
    <definedName name="Pay_Num">'Kredit mit Sondertilgung'!$A$18:$A$377</definedName>
    <definedName name="Payment_Date" localSheetId="2">DATE(YEAR('Kredit mit Sondertilgung'!Loan_Start),MONTH('Kredit mit Sondertilgung'!Loan_Start)+[0]!Payment_Number,DAY('Kredit mit Sondertilgung'!Loan_Start))</definedName>
    <definedName name="Payment_Date">DATE(YEAR(Loan_Start),MONTH(Loan_Start)+Payment_Number,DAY(Loan_Start))</definedName>
    <definedName name="Payment_Number">ROW()-Header_Row</definedName>
    <definedName name="Princ">'Kredit mit Sondertilgung'!$H$18:$H$377</definedName>
    <definedName name="Principal">-PPMT(Interest_Rate/12,Payment_Number,Number_of_Payments,Loan_Amount)</definedName>
    <definedName name="Print_Area_Reset">OFFSET('Kredit mit Sondertilgung'!Full_Print,0,0,'Kredit mit Sondertilgung'!Last_Row)</definedName>
    <definedName name="Sched_Pay">'Kredit mit Sondertilgung'!$D$18:$D$377</definedName>
    <definedName name="Scheduled_Extra_Payments">'Kredit mit Sondertilgung'!$D$8</definedName>
    <definedName name="Scheduled_Interest_Rate">'Kredit mit Sondertilgung'!$D$5</definedName>
    <definedName name="Scheduled_Monthly_Payment">'Kredit mit Sondertilgung'!$D$11</definedName>
    <definedName name="Total_Cost">#REF!</definedName>
    <definedName name="Total_Interest" localSheetId="2">'Kredit mit Sondertilgung'!$D$15</definedName>
    <definedName name="Total_Interest">#REF!</definedName>
    <definedName name="Total_Pay">'Kredit mit Sondertilgung'!$G$18:$G$377</definedName>
    <definedName name="Total_Payment">Scheduled_Payment+Extra_Payment</definedName>
    <definedName name="Values_Entered" localSheetId="2">IF('Kredit mit Sondertilgung'!Loan_Amount*'Kredit mit Sondertilgung'!Interest_Rate*'Kredit mit Sondertilgung'!Loan_Years*'Kredit mit Sondertilgung'!Loan_Start&gt;0,1,0)</definedName>
    <definedName name="Values_Entered">IF(Loan_Amount*Interest_Rate*Loan_Years*Loan_Start&gt;0,1,0)</definedName>
    <definedName name="Volldruck">#REF!</definedName>
    <definedName name="Zahlungen_Gesamt">#REF!</definedName>
    <definedName name="Zahlungs_Datum">#REF!</definedName>
    <definedName name="ZahlungsDatum">DATE(YEAR(Kreditbeginn),MONTH(Kreditbeginn)+[0]!Payment_Number,DAY(Kreditbeginn))</definedName>
    <definedName name="Zhlg_Anz">#REF!</definedName>
    <definedName name="Zinsen_Gesamt">#REF!</definedName>
    <definedName name="Zinssatz">#REF!</definedName>
    <definedName name="Zns">#REF!</definedName>
    <definedName name="Zus_Zhl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  <c r="B21" i="2"/>
  <c r="C145" i="1"/>
  <c r="D12" i="2" l="1"/>
  <c r="C69" i="1"/>
  <c r="C63" i="1" s="1"/>
  <c r="C15" i="1"/>
  <c r="C25" i="1"/>
  <c r="G15" i="1"/>
  <c r="G5" i="1"/>
  <c r="H13" i="2" l="1"/>
  <c r="C67" i="1" s="1"/>
  <c r="E88" i="1" l="1"/>
  <c r="C88" i="1"/>
  <c r="E87" i="1"/>
  <c r="C87" i="1"/>
  <c r="D7" i="34"/>
  <c r="D10" i="2"/>
  <c r="C153" i="1"/>
  <c r="K19" i="1"/>
  <c r="F14" i="36"/>
  <c r="H2" i="1"/>
  <c r="F10" i="34"/>
  <c r="H8" i="2" l="1"/>
  <c r="G76" i="1"/>
  <c r="B1" i="34"/>
  <c r="I4" i="2"/>
  <c r="J11" i="1" l="1"/>
  <c r="E9" i="2" s="1"/>
  <c r="J20" i="1"/>
  <c r="D11" i="2"/>
  <c r="B6" i="34" s="1"/>
  <c r="D7" i="2"/>
  <c r="B2" i="34" s="1"/>
  <c r="B7" i="34"/>
  <c r="E8" i="2" l="1"/>
  <c r="E10" i="2"/>
  <c r="C72" i="1"/>
  <c r="B3" i="34" l="1"/>
  <c r="L20" i="1"/>
  <c r="M18" i="1"/>
  <c r="G34" i="1"/>
  <c r="G35" i="1"/>
  <c r="G36" i="1"/>
  <c r="A18" i="36"/>
  <c r="I7" i="2"/>
  <c r="F2" i="34" s="1"/>
  <c r="I18" i="2"/>
  <c r="C4" i="1"/>
  <c r="G4" i="1"/>
  <c r="C5" i="1"/>
  <c r="C6" i="1"/>
  <c r="G6" i="1"/>
  <c r="G13" i="1"/>
  <c r="C14" i="1"/>
  <c r="G14" i="1"/>
  <c r="M15" i="1"/>
  <c r="C16" i="1"/>
  <c r="G16" i="1"/>
  <c r="M16" i="1"/>
  <c r="M17" i="1"/>
  <c r="E19" i="38"/>
  <c r="K20" i="1"/>
  <c r="C23" i="1"/>
  <c r="C24" i="1"/>
  <c r="C26" i="1"/>
  <c r="K30" i="1"/>
  <c r="C34" i="1"/>
  <c r="C35" i="1"/>
  <c r="C36" i="1"/>
  <c r="G43" i="1"/>
  <c r="C44" i="1"/>
  <c r="G44" i="1"/>
  <c r="C45" i="1"/>
  <c r="G45" i="1"/>
  <c r="C46" i="1"/>
  <c r="G46" i="1"/>
  <c r="C53" i="1"/>
  <c r="C54" i="1"/>
  <c r="C55" i="1"/>
  <c r="C56" i="1"/>
  <c r="G56" i="1"/>
  <c r="D1" i="36"/>
  <c r="D11" i="36"/>
  <c r="D12" i="36"/>
  <c r="C18" i="36"/>
  <c r="I18" i="38"/>
  <c r="I19" i="38"/>
  <c r="G32" i="1" l="1"/>
  <c r="E18" i="36"/>
  <c r="B4" i="34"/>
  <c r="E8" i="34"/>
  <c r="C76" i="1"/>
  <c r="K18" i="36"/>
  <c r="A19" i="36"/>
  <c r="E19" i="36" s="1"/>
  <c r="B18" i="36"/>
  <c r="H19" i="38"/>
  <c r="I13" i="2"/>
  <c r="F8" i="34" s="1"/>
  <c r="I18" i="36"/>
  <c r="D18" i="36"/>
  <c r="C18" i="38"/>
  <c r="B5" i="34"/>
  <c r="E18" i="38"/>
  <c r="C52" i="1"/>
  <c r="C57" i="1" s="1"/>
  <c r="C2" i="1"/>
  <c r="C32" i="1"/>
  <c r="C42" i="1"/>
  <c r="C12" i="1"/>
  <c r="G2" i="1"/>
  <c r="C22" i="1"/>
  <c r="C19" i="38"/>
  <c r="M20" i="1"/>
  <c r="H18" i="38"/>
  <c r="G33" i="1" l="1"/>
  <c r="G37" i="1" s="1"/>
  <c r="G18" i="36"/>
  <c r="H18" i="36" s="1"/>
  <c r="J18" i="36" s="1"/>
  <c r="C19" i="36" s="1"/>
  <c r="B19" i="36"/>
  <c r="D19" i="36"/>
  <c r="A20" i="36"/>
  <c r="E20" i="36" s="1"/>
  <c r="C13" i="1"/>
  <c r="G42" i="1"/>
  <c r="G47" i="1" s="1"/>
  <c r="C43" i="1"/>
  <c r="C47" i="1" s="1"/>
  <c r="G12" i="1"/>
  <c r="C3" i="1"/>
  <c r="G3" i="1"/>
  <c r="C33" i="1"/>
  <c r="C37" i="1" s="1"/>
  <c r="G19" i="36" l="1"/>
  <c r="I19" i="36"/>
  <c r="A21" i="36"/>
  <c r="E21" i="36" s="1"/>
  <c r="D20" i="36"/>
  <c r="B20" i="36"/>
  <c r="C7" i="1"/>
  <c r="C17" i="1" l="1"/>
  <c r="H11" i="2" s="1"/>
  <c r="G7" i="1"/>
  <c r="H10" i="2" s="1"/>
  <c r="C27" i="1"/>
  <c r="G17" i="1"/>
  <c r="G72" i="1" s="1"/>
  <c r="G20" i="36"/>
  <c r="H19" i="36"/>
  <c r="J19" i="36" s="1"/>
  <c r="C20" i="36" s="1"/>
  <c r="A22" i="36"/>
  <c r="E22" i="36" s="1"/>
  <c r="D21" i="36"/>
  <c r="B21" i="36"/>
  <c r="G73" i="1" l="1"/>
  <c r="H9" i="2"/>
  <c r="D155" i="1" s="1"/>
  <c r="G21" i="36"/>
  <c r="I20" i="36"/>
  <c r="A23" i="36"/>
  <c r="E23" i="36" s="1"/>
  <c r="B22" i="36"/>
  <c r="D22" i="36"/>
  <c r="C73" i="1" l="1"/>
  <c r="C64" i="1"/>
  <c r="G22" i="36"/>
  <c r="H20" i="36"/>
  <c r="J20" i="36" s="1"/>
  <c r="A24" i="36"/>
  <c r="E24" i="36" s="1"/>
  <c r="B23" i="36"/>
  <c r="D23" i="36"/>
  <c r="G23" i="36" l="1"/>
  <c r="C21" i="36"/>
  <c r="A25" i="36"/>
  <c r="D24" i="36"/>
  <c r="B24" i="36"/>
  <c r="E25" i="36" l="1"/>
  <c r="G24" i="36" s="1"/>
  <c r="I21" i="36"/>
  <c r="H21" i="36" s="1"/>
  <c r="J21" i="36" s="1"/>
  <c r="A26" i="36"/>
  <c r="D25" i="36"/>
  <c r="B25" i="36"/>
  <c r="E26" i="36" l="1"/>
  <c r="G25" i="36" s="1"/>
  <c r="C22" i="36"/>
  <c r="A27" i="36"/>
  <c r="B26" i="36"/>
  <c r="D26" i="36"/>
  <c r="E27" i="36" l="1"/>
  <c r="G26" i="36" s="1"/>
  <c r="I22" i="36"/>
  <c r="H22" i="36" s="1"/>
  <c r="J22" i="36" s="1"/>
  <c r="C23" i="36" s="1"/>
  <c r="A28" i="36"/>
  <c r="B27" i="36"/>
  <c r="D27" i="36"/>
  <c r="E28" i="36" l="1"/>
  <c r="G27" i="36" s="1"/>
  <c r="I23" i="36"/>
  <c r="H23" i="36" s="1"/>
  <c r="J23" i="36" s="1"/>
  <c r="C24" i="36" s="1"/>
  <c r="A29" i="36"/>
  <c r="B28" i="36"/>
  <c r="D28" i="36"/>
  <c r="E29" i="36" l="1"/>
  <c r="G28" i="36" s="1"/>
  <c r="I24" i="36"/>
  <c r="H24" i="36" s="1"/>
  <c r="J24" i="36" s="1"/>
  <c r="C25" i="36" s="1"/>
  <c r="A30" i="36"/>
  <c r="D29" i="36"/>
  <c r="B29" i="36"/>
  <c r="E30" i="36" l="1"/>
  <c r="G29" i="36" s="1"/>
  <c r="I25" i="36"/>
  <c r="H25" i="36" s="1"/>
  <c r="J25" i="36" s="1"/>
  <c r="C26" i="36" s="1"/>
  <c r="A31" i="36"/>
  <c r="B30" i="36"/>
  <c r="D30" i="36"/>
  <c r="E31" i="36" l="1"/>
  <c r="G30" i="36" s="1"/>
  <c r="I26" i="36"/>
  <c r="H26" i="36" s="1"/>
  <c r="J26" i="36" s="1"/>
  <c r="C27" i="36" s="1"/>
  <c r="A32" i="36"/>
  <c r="B31" i="36"/>
  <c r="D31" i="36"/>
  <c r="E32" i="36" l="1"/>
  <c r="G31" i="36" s="1"/>
  <c r="I27" i="36"/>
  <c r="H27" i="36" s="1"/>
  <c r="J27" i="36" s="1"/>
  <c r="C28" i="36" s="1"/>
  <c r="A33" i="36"/>
  <c r="B32" i="36"/>
  <c r="D32" i="36"/>
  <c r="E33" i="36" l="1"/>
  <c r="G32" i="36" s="1"/>
  <c r="I28" i="36"/>
  <c r="H28" i="36" s="1"/>
  <c r="J28" i="36" s="1"/>
  <c r="C29" i="36" s="1"/>
  <c r="A34" i="36"/>
  <c r="D33" i="36"/>
  <c r="B33" i="36"/>
  <c r="E34" i="36" l="1"/>
  <c r="G33" i="36" s="1"/>
  <c r="I29" i="36"/>
  <c r="H29" i="36" s="1"/>
  <c r="J29" i="36" s="1"/>
  <c r="C30" i="36" s="1"/>
  <c r="D34" i="36"/>
  <c r="A35" i="36"/>
  <c r="B34" i="36"/>
  <c r="E35" i="36" l="1"/>
  <c r="G34" i="36" s="1"/>
  <c r="I30" i="36"/>
  <c r="H30" i="36" s="1"/>
  <c r="J30" i="36" s="1"/>
  <c r="C31" i="36" s="1"/>
  <c r="A36" i="36"/>
  <c r="B35" i="36"/>
  <c r="D35" i="36"/>
  <c r="E36" i="36" l="1"/>
  <c r="G35" i="36" s="1"/>
  <c r="I31" i="36"/>
  <c r="H31" i="36" s="1"/>
  <c r="J31" i="36" s="1"/>
  <c r="C32" i="36" s="1"/>
  <c r="A37" i="36"/>
  <c r="B36" i="36"/>
  <c r="D36" i="36"/>
  <c r="E37" i="36" l="1"/>
  <c r="G36" i="36" s="1"/>
  <c r="I32" i="36"/>
  <c r="H32" i="36" s="1"/>
  <c r="J32" i="36" s="1"/>
  <c r="C33" i="36" s="1"/>
  <c r="D37" i="36"/>
  <c r="A38" i="36"/>
  <c r="B37" i="36"/>
  <c r="E38" i="36" l="1"/>
  <c r="G37" i="36" s="1"/>
  <c r="I33" i="36"/>
  <c r="H33" i="36" s="1"/>
  <c r="J33" i="36" s="1"/>
  <c r="C34" i="36" s="1"/>
  <c r="A39" i="36"/>
  <c r="B38" i="36"/>
  <c r="D38" i="36"/>
  <c r="E39" i="36" l="1"/>
  <c r="G38" i="36" s="1"/>
  <c r="I34" i="36"/>
  <c r="H34" i="36" s="1"/>
  <c r="J34" i="36" s="1"/>
  <c r="C35" i="36" s="1"/>
  <c r="A40" i="36"/>
  <c r="B39" i="36"/>
  <c r="D39" i="36"/>
  <c r="E40" i="36" l="1"/>
  <c r="G39" i="36" s="1"/>
  <c r="I35" i="36"/>
  <c r="H35" i="36" s="1"/>
  <c r="J35" i="36" s="1"/>
  <c r="C36" i="36" s="1"/>
  <c r="A41" i="36"/>
  <c r="B40" i="36"/>
  <c r="D40" i="36"/>
  <c r="E41" i="36" l="1"/>
  <c r="G40" i="36" s="1"/>
  <c r="I36" i="36"/>
  <c r="H36" i="36" s="1"/>
  <c r="J36" i="36" s="1"/>
  <c r="C37" i="36" s="1"/>
  <c r="A42" i="36"/>
  <c r="D41" i="36"/>
  <c r="B41" i="36"/>
  <c r="E42" i="36" l="1"/>
  <c r="G41" i="36" s="1"/>
  <c r="I37" i="36"/>
  <c r="H37" i="36" s="1"/>
  <c r="J37" i="36" s="1"/>
  <c r="C38" i="36" s="1"/>
  <c r="A43" i="36"/>
  <c r="B42" i="36"/>
  <c r="D42" i="36"/>
  <c r="E43" i="36" l="1"/>
  <c r="G42" i="36" s="1"/>
  <c r="I38" i="36"/>
  <c r="H38" i="36" s="1"/>
  <c r="J38" i="36" s="1"/>
  <c r="C39" i="36" s="1"/>
  <c r="A44" i="36"/>
  <c r="D43" i="36"/>
  <c r="B43" i="36"/>
  <c r="E44" i="36" l="1"/>
  <c r="G43" i="36" s="1"/>
  <c r="I39" i="36"/>
  <c r="H39" i="36" s="1"/>
  <c r="J39" i="36" s="1"/>
  <c r="C40" i="36" s="1"/>
  <c r="A45" i="36"/>
  <c r="D44" i="36"/>
  <c r="B44" i="36"/>
  <c r="E45" i="36" l="1"/>
  <c r="G44" i="36" s="1"/>
  <c r="I40" i="36"/>
  <c r="H40" i="36" s="1"/>
  <c r="J40" i="36" s="1"/>
  <c r="C41" i="36" s="1"/>
  <c r="D45" i="36"/>
  <c r="B45" i="36"/>
  <c r="A46" i="36"/>
  <c r="E46" i="36" l="1"/>
  <c r="G45" i="36" s="1"/>
  <c r="I41" i="36"/>
  <c r="H41" i="36" s="1"/>
  <c r="J41" i="36" s="1"/>
  <c r="C42" i="36" s="1"/>
  <c r="A47" i="36"/>
  <c r="B46" i="36"/>
  <c r="D46" i="36"/>
  <c r="E47" i="36" l="1"/>
  <c r="G46" i="36" s="1"/>
  <c r="I42" i="36"/>
  <c r="H42" i="36" s="1"/>
  <c r="J42" i="36" s="1"/>
  <c r="C43" i="36" s="1"/>
  <c r="A48" i="36"/>
  <c r="B47" i="36"/>
  <c r="D47" i="36"/>
  <c r="E48" i="36" l="1"/>
  <c r="G47" i="36" s="1"/>
  <c r="I43" i="36"/>
  <c r="H43" i="36" s="1"/>
  <c r="J43" i="36" s="1"/>
  <c r="C44" i="36" s="1"/>
  <c r="B48" i="36"/>
  <c r="A49" i="36"/>
  <c r="D48" i="36"/>
  <c r="E49" i="36" l="1"/>
  <c r="G48" i="36" s="1"/>
  <c r="I44" i="36"/>
  <c r="H44" i="36" s="1"/>
  <c r="J44" i="36" s="1"/>
  <c r="C45" i="36" s="1"/>
  <c r="A50" i="36"/>
  <c r="B49" i="36"/>
  <c r="D49" i="36"/>
  <c r="E50" i="36" l="1"/>
  <c r="G49" i="36" s="1"/>
  <c r="D50" i="36"/>
  <c r="A51" i="36"/>
  <c r="B50" i="36"/>
  <c r="I45" i="36"/>
  <c r="H45" i="36" s="1"/>
  <c r="J45" i="36" s="1"/>
  <c r="C46" i="36" s="1"/>
  <c r="E51" i="36" l="1"/>
  <c r="G50" i="36" s="1"/>
  <c r="I46" i="36"/>
  <c r="H46" i="36" s="1"/>
  <c r="J46" i="36" s="1"/>
  <c r="C47" i="36" s="1"/>
  <c r="A52" i="36"/>
  <c r="B51" i="36"/>
  <c r="D51" i="36"/>
  <c r="E52" i="36" l="1"/>
  <c r="G51" i="36" s="1"/>
  <c r="I47" i="36"/>
  <c r="H47" i="36" s="1"/>
  <c r="J47" i="36" s="1"/>
  <c r="C48" i="36" s="1"/>
  <c r="B52" i="36"/>
  <c r="A53" i="36"/>
  <c r="D52" i="36"/>
  <c r="E53" i="36" l="1"/>
  <c r="G52" i="36" s="1"/>
  <c r="I48" i="36"/>
  <c r="H48" i="36" s="1"/>
  <c r="J48" i="36" s="1"/>
  <c r="C49" i="36" s="1"/>
  <c r="B53" i="36"/>
  <c r="D53" i="36"/>
  <c r="A54" i="36"/>
  <c r="E54" i="36" l="1"/>
  <c r="G53" i="36" s="1"/>
  <c r="I49" i="36"/>
  <c r="H49" i="36" s="1"/>
  <c r="J49" i="36" s="1"/>
  <c r="C50" i="36" s="1"/>
  <c r="A55" i="36"/>
  <c r="B54" i="36"/>
  <c r="D54" i="36"/>
  <c r="E55" i="36" l="1"/>
  <c r="G54" i="36" s="1"/>
  <c r="I50" i="36"/>
  <c r="H50" i="36" s="1"/>
  <c r="J50" i="36" s="1"/>
  <c r="C51" i="36" s="1"/>
  <c r="A56" i="36"/>
  <c r="B55" i="36"/>
  <c r="D55" i="36"/>
  <c r="E56" i="36" l="1"/>
  <c r="G55" i="36" s="1"/>
  <c r="I51" i="36"/>
  <c r="H51" i="36" s="1"/>
  <c r="J51" i="36" s="1"/>
  <c r="C52" i="36" s="1"/>
  <c r="A57" i="36"/>
  <c r="B56" i="36"/>
  <c r="D56" i="36"/>
  <c r="E57" i="36" l="1"/>
  <c r="G56" i="36" s="1"/>
  <c r="I52" i="36"/>
  <c r="H52" i="36" s="1"/>
  <c r="J52" i="36" s="1"/>
  <c r="C53" i="36" s="1"/>
  <c r="A58" i="36"/>
  <c r="D57" i="36"/>
  <c r="B57" i="36"/>
  <c r="E58" i="36" l="1"/>
  <c r="G57" i="36" s="1"/>
  <c r="I53" i="36"/>
  <c r="H53" i="36" s="1"/>
  <c r="J53" i="36" s="1"/>
  <c r="C54" i="36" s="1"/>
  <c r="D58" i="36"/>
  <c r="A59" i="36"/>
  <c r="B58" i="36"/>
  <c r="E59" i="36" l="1"/>
  <c r="G58" i="36" s="1"/>
  <c r="I54" i="36"/>
  <c r="H54" i="36" s="1"/>
  <c r="J54" i="36" s="1"/>
  <c r="C55" i="36" s="1"/>
  <c r="A60" i="36"/>
  <c r="B59" i="36"/>
  <c r="D59" i="36"/>
  <c r="E60" i="36" l="1"/>
  <c r="G59" i="36" s="1"/>
  <c r="A61" i="36"/>
  <c r="B60" i="36"/>
  <c r="D60" i="36"/>
  <c r="I55" i="36"/>
  <c r="H55" i="36" s="1"/>
  <c r="J55" i="36" s="1"/>
  <c r="C56" i="36" s="1"/>
  <c r="E61" i="36" l="1"/>
  <c r="G60" i="36" s="1"/>
  <c r="I56" i="36"/>
  <c r="H56" i="36" s="1"/>
  <c r="J56" i="36" s="1"/>
  <c r="C57" i="36" s="1"/>
  <c r="D61" i="36"/>
  <c r="A62" i="36"/>
  <c r="B61" i="36"/>
  <c r="E62" i="36" l="1"/>
  <c r="G61" i="36" s="1"/>
  <c r="I57" i="36"/>
  <c r="H57" i="36" s="1"/>
  <c r="J57" i="36" s="1"/>
  <c r="C58" i="36" s="1"/>
  <c r="A63" i="36"/>
  <c r="B62" i="36"/>
  <c r="D62" i="36"/>
  <c r="E63" i="36" l="1"/>
  <c r="G62" i="36" s="1"/>
  <c r="I58" i="36"/>
  <c r="H58" i="36" s="1"/>
  <c r="J58" i="36" s="1"/>
  <c r="C59" i="36" s="1"/>
  <c r="A64" i="36"/>
  <c r="D63" i="36"/>
  <c r="B63" i="36"/>
  <c r="E64" i="36" l="1"/>
  <c r="G63" i="36" s="1"/>
  <c r="I59" i="36"/>
  <c r="H59" i="36" s="1"/>
  <c r="J59" i="36" s="1"/>
  <c r="C60" i="36" s="1"/>
  <c r="A65" i="36"/>
  <c r="D64" i="36"/>
  <c r="B64" i="36"/>
  <c r="E65" i="36" l="1"/>
  <c r="G64" i="36" s="1"/>
  <c r="I60" i="36"/>
  <c r="H60" i="36" s="1"/>
  <c r="J60" i="36" s="1"/>
  <c r="C61" i="36" s="1"/>
  <c r="A66" i="36"/>
  <c r="D65" i="36"/>
  <c r="B65" i="36"/>
  <c r="E66" i="36" l="1"/>
  <c r="G65" i="36" s="1"/>
  <c r="I61" i="36"/>
  <c r="H61" i="36" s="1"/>
  <c r="J61" i="36" s="1"/>
  <c r="C62" i="36" s="1"/>
  <c r="B66" i="36"/>
  <c r="A67" i="36"/>
  <c r="D66" i="36"/>
  <c r="E67" i="36" l="1"/>
  <c r="G66" i="36" s="1"/>
  <c r="I62" i="36"/>
  <c r="H62" i="36" s="1"/>
  <c r="J62" i="36" s="1"/>
  <c r="C63" i="36" s="1"/>
  <c r="A68" i="36"/>
  <c r="B67" i="36"/>
  <c r="D67" i="36"/>
  <c r="E68" i="36" l="1"/>
  <c r="G67" i="36" s="1"/>
  <c r="I63" i="36"/>
  <c r="H63" i="36" s="1"/>
  <c r="J63" i="36" s="1"/>
  <c r="C64" i="36" s="1"/>
  <c r="A69" i="36"/>
  <c r="B68" i="36"/>
  <c r="D68" i="36"/>
  <c r="E69" i="36" l="1"/>
  <c r="G68" i="36" s="1"/>
  <c r="I64" i="36"/>
  <c r="H64" i="36" s="1"/>
  <c r="J64" i="36" s="1"/>
  <c r="C65" i="36" s="1"/>
  <c r="D69" i="36"/>
  <c r="B69" i="36"/>
  <c r="A70" i="36"/>
  <c r="E70" i="36" l="1"/>
  <c r="G69" i="36" s="1"/>
  <c r="I65" i="36"/>
  <c r="H65" i="36" s="1"/>
  <c r="J65" i="36" s="1"/>
  <c r="C66" i="36" s="1"/>
  <c r="A71" i="36"/>
  <c r="D70" i="36"/>
  <c r="B70" i="36"/>
  <c r="E71" i="36" l="1"/>
  <c r="G70" i="36" s="1"/>
  <c r="I66" i="36"/>
  <c r="H66" i="36" s="1"/>
  <c r="J66" i="36" s="1"/>
  <c r="C67" i="36" s="1"/>
  <c r="A72" i="36"/>
  <c r="B71" i="36"/>
  <c r="D71" i="36"/>
  <c r="E72" i="36" l="1"/>
  <c r="G71" i="36" s="1"/>
  <c r="I67" i="36"/>
  <c r="H67" i="36" s="1"/>
  <c r="J67" i="36" s="1"/>
  <c r="C68" i="36" s="1"/>
  <c r="A73" i="36"/>
  <c r="D72" i="36"/>
  <c r="B72" i="36"/>
  <c r="I68" i="36" l="1"/>
  <c r="H68" i="36" s="1"/>
  <c r="J68" i="36" s="1"/>
  <c r="C69" i="36" s="1"/>
  <c r="A74" i="36"/>
  <c r="B73" i="36"/>
  <c r="D73" i="36"/>
  <c r="E73" i="36" l="1"/>
  <c r="I69" i="36"/>
  <c r="H69" i="36" s="1"/>
  <c r="J69" i="36" s="1"/>
  <c r="C70" i="36" s="1"/>
  <c r="B74" i="36"/>
  <c r="A75" i="36"/>
  <c r="D74" i="36"/>
  <c r="G72" i="36" l="1"/>
  <c r="E74" i="36"/>
  <c r="G73" i="36" s="1"/>
  <c r="I70" i="36"/>
  <c r="H70" i="36" s="1"/>
  <c r="J70" i="36" s="1"/>
  <c r="C71" i="36" s="1"/>
  <c r="A76" i="36"/>
  <c r="B75" i="36"/>
  <c r="D75" i="36"/>
  <c r="E75" i="36" l="1"/>
  <c r="I71" i="36"/>
  <c r="H71" i="36" s="1"/>
  <c r="J71" i="36" s="1"/>
  <c r="C72" i="36" s="1"/>
  <c r="B76" i="36"/>
  <c r="A77" i="36"/>
  <c r="D76" i="36"/>
  <c r="G74" i="36" l="1"/>
  <c r="E76" i="36"/>
  <c r="G75" i="36" s="1"/>
  <c r="I72" i="36"/>
  <c r="H72" i="36" s="1"/>
  <c r="J72" i="36" s="1"/>
  <c r="C73" i="36" s="1"/>
  <c r="A78" i="36"/>
  <c r="D77" i="36"/>
  <c r="B77" i="36"/>
  <c r="E77" i="36" l="1"/>
  <c r="I73" i="36"/>
  <c r="H73" i="36" s="1"/>
  <c r="J73" i="36" s="1"/>
  <c r="C74" i="36" s="1"/>
  <c r="A79" i="36"/>
  <c r="D78" i="36"/>
  <c r="B78" i="36"/>
  <c r="G76" i="36" l="1"/>
  <c r="E78" i="36"/>
  <c r="G77" i="36" s="1"/>
  <c r="I74" i="36"/>
  <c r="H74" i="36" s="1"/>
  <c r="J74" i="36" s="1"/>
  <c r="C75" i="36" s="1"/>
  <c r="A80" i="36"/>
  <c r="B79" i="36"/>
  <c r="D79" i="36"/>
  <c r="E79" i="36" l="1"/>
  <c r="I75" i="36"/>
  <c r="H75" i="36" s="1"/>
  <c r="J75" i="36" s="1"/>
  <c r="C76" i="36" s="1"/>
  <c r="A81" i="36"/>
  <c r="B80" i="36"/>
  <c r="D80" i="36"/>
  <c r="G78" i="36" l="1"/>
  <c r="E80" i="36"/>
  <c r="G79" i="36" s="1"/>
  <c r="I76" i="36"/>
  <c r="H76" i="36" s="1"/>
  <c r="J76" i="36" s="1"/>
  <c r="C77" i="36" s="1"/>
  <c r="A82" i="36"/>
  <c r="B81" i="36"/>
  <c r="D81" i="36"/>
  <c r="E81" i="36" l="1"/>
  <c r="I77" i="36"/>
  <c r="H77" i="36" s="1"/>
  <c r="J77" i="36" s="1"/>
  <c r="C78" i="36" s="1"/>
  <c r="A83" i="36"/>
  <c r="B82" i="36"/>
  <c r="D82" i="36"/>
  <c r="G80" i="36" l="1"/>
  <c r="E82" i="36"/>
  <c r="G81" i="36" s="1"/>
  <c r="I78" i="36"/>
  <c r="H78" i="36" s="1"/>
  <c r="J78" i="36" s="1"/>
  <c r="C79" i="36" s="1"/>
  <c r="A84" i="36"/>
  <c r="B83" i="36"/>
  <c r="D83" i="36"/>
  <c r="E83" i="36" l="1"/>
  <c r="I79" i="36"/>
  <c r="H79" i="36" s="1"/>
  <c r="J79" i="36" s="1"/>
  <c r="C80" i="36" s="1"/>
  <c r="A85" i="36"/>
  <c r="D84" i="36"/>
  <c r="B84" i="36"/>
  <c r="G82" i="36" l="1"/>
  <c r="E84" i="36"/>
  <c r="G83" i="36" s="1"/>
  <c r="I80" i="36"/>
  <c r="H80" i="36" s="1"/>
  <c r="J80" i="36" s="1"/>
  <c r="C81" i="36" s="1"/>
  <c r="A86" i="36"/>
  <c r="E86" i="36" s="1"/>
  <c r="D85" i="36"/>
  <c r="B85" i="36"/>
  <c r="E85" i="36" l="1"/>
  <c r="I81" i="36"/>
  <c r="H81" i="36" s="1"/>
  <c r="J81" i="36" s="1"/>
  <c r="C82" i="36" s="1"/>
  <c r="A87" i="36"/>
  <c r="B86" i="36"/>
  <c r="D86" i="36"/>
  <c r="G84" i="36" l="1"/>
  <c r="G85" i="36"/>
  <c r="I82" i="36"/>
  <c r="H82" i="36" s="1"/>
  <c r="J82" i="36" s="1"/>
  <c r="C83" i="36" s="1"/>
  <c r="A88" i="36"/>
  <c r="B87" i="36"/>
  <c r="D87" i="36"/>
  <c r="E87" i="36" l="1"/>
  <c r="I83" i="36"/>
  <c r="H83" i="36" s="1"/>
  <c r="J83" i="36" s="1"/>
  <c r="C84" i="36" s="1"/>
  <c r="A89" i="36"/>
  <c r="D88" i="36"/>
  <c r="B88" i="36"/>
  <c r="G86" i="36" l="1"/>
  <c r="E88" i="36"/>
  <c r="G87" i="36" s="1"/>
  <c r="I84" i="36"/>
  <c r="H84" i="36" s="1"/>
  <c r="J84" i="36" s="1"/>
  <c r="C85" i="36" s="1"/>
  <c r="A90" i="36"/>
  <c r="D89" i="36"/>
  <c r="B89" i="36"/>
  <c r="E89" i="36" l="1"/>
  <c r="I85" i="36"/>
  <c r="H85" i="36" s="1"/>
  <c r="J85" i="36" s="1"/>
  <c r="C86" i="36" s="1"/>
  <c r="B90" i="36"/>
  <c r="A91" i="36"/>
  <c r="D90" i="36"/>
  <c r="G88" i="36" l="1"/>
  <c r="E90" i="36"/>
  <c r="G89" i="36" s="1"/>
  <c r="I86" i="36"/>
  <c r="H86" i="36" s="1"/>
  <c r="J86" i="36" s="1"/>
  <c r="C87" i="36" s="1"/>
  <c r="A92" i="36"/>
  <c r="B91" i="36"/>
  <c r="D91" i="36"/>
  <c r="E91" i="36" l="1"/>
  <c r="I87" i="36"/>
  <c r="H87" i="36" s="1"/>
  <c r="J87" i="36" s="1"/>
  <c r="C88" i="36" s="1"/>
  <c r="A93" i="36"/>
  <c r="B92" i="36"/>
  <c r="D92" i="36"/>
  <c r="G90" i="36" l="1"/>
  <c r="E92" i="36"/>
  <c r="G91" i="36" s="1"/>
  <c r="I88" i="36"/>
  <c r="H88" i="36" s="1"/>
  <c r="J88" i="36" s="1"/>
  <c r="C89" i="36" s="1"/>
  <c r="A94" i="36"/>
  <c r="B93" i="36"/>
  <c r="D93" i="36"/>
  <c r="E93" i="36" l="1"/>
  <c r="I89" i="36"/>
  <c r="H89" i="36" s="1"/>
  <c r="J89" i="36" s="1"/>
  <c r="C90" i="36" s="1"/>
  <c r="A95" i="36"/>
  <c r="D94" i="36"/>
  <c r="B94" i="36"/>
  <c r="G92" i="36" l="1"/>
  <c r="E94" i="36"/>
  <c r="G93" i="36" s="1"/>
  <c r="I90" i="36"/>
  <c r="H90" i="36" s="1"/>
  <c r="J90" i="36" s="1"/>
  <c r="C91" i="36" s="1"/>
  <c r="A96" i="36"/>
  <c r="B95" i="36"/>
  <c r="D95" i="36"/>
  <c r="E95" i="36" l="1"/>
  <c r="I91" i="36"/>
  <c r="H91" i="36" s="1"/>
  <c r="J91" i="36" s="1"/>
  <c r="C92" i="36" s="1"/>
  <c r="A97" i="36"/>
  <c r="B96" i="36"/>
  <c r="D96" i="36"/>
  <c r="G94" i="36" l="1"/>
  <c r="E96" i="36"/>
  <c r="G95" i="36" s="1"/>
  <c r="I92" i="36"/>
  <c r="H92" i="36" s="1"/>
  <c r="J92" i="36" s="1"/>
  <c r="C93" i="36" s="1"/>
  <c r="A98" i="36"/>
  <c r="D97" i="36"/>
  <c r="B97" i="36"/>
  <c r="E97" i="36" l="1"/>
  <c r="I93" i="36"/>
  <c r="H93" i="36" s="1"/>
  <c r="J93" i="36" s="1"/>
  <c r="C94" i="36" s="1"/>
  <c r="A99" i="36"/>
  <c r="D98" i="36"/>
  <c r="B98" i="36"/>
  <c r="G97" i="36" l="1"/>
  <c r="G96" i="36"/>
  <c r="E98" i="36"/>
  <c r="I94" i="36"/>
  <c r="H94" i="36" s="1"/>
  <c r="J94" i="36" s="1"/>
  <c r="C95" i="36" s="1"/>
  <c r="A100" i="36"/>
  <c r="B99" i="36"/>
  <c r="D99" i="36"/>
  <c r="E99" i="36" l="1"/>
  <c r="I95" i="36"/>
  <c r="H95" i="36" s="1"/>
  <c r="J95" i="36" s="1"/>
  <c r="C96" i="36" s="1"/>
  <c r="B100" i="36"/>
  <c r="A101" i="36"/>
  <c r="D100" i="36"/>
  <c r="G99" i="36" l="1"/>
  <c r="G98" i="36"/>
  <c r="E100" i="36"/>
  <c r="I96" i="36"/>
  <c r="H96" i="36" s="1"/>
  <c r="J96" i="36" s="1"/>
  <c r="C97" i="36" s="1"/>
  <c r="B101" i="36"/>
  <c r="A102" i="36"/>
  <c r="D101" i="36"/>
  <c r="E101" i="36" l="1"/>
  <c r="I97" i="36"/>
  <c r="H97" i="36" s="1"/>
  <c r="J97" i="36" s="1"/>
  <c r="C98" i="36" s="1"/>
  <c r="A103" i="36"/>
  <c r="D102" i="36"/>
  <c r="B102" i="36"/>
  <c r="G100" i="36" l="1"/>
  <c r="E102" i="36"/>
  <c r="G101" i="36" s="1"/>
  <c r="I98" i="36"/>
  <c r="H98" i="36" s="1"/>
  <c r="J98" i="36" s="1"/>
  <c r="C99" i="36" s="1"/>
  <c r="A104" i="36"/>
  <c r="B103" i="36"/>
  <c r="D103" i="36"/>
  <c r="E103" i="36" l="1"/>
  <c r="I99" i="36"/>
  <c r="H99" i="36" s="1"/>
  <c r="J99" i="36" s="1"/>
  <c r="C100" i="36" s="1"/>
  <c r="A105" i="36"/>
  <c r="D104" i="36"/>
  <c r="B104" i="36"/>
  <c r="G102" i="36" l="1"/>
  <c r="E104" i="36"/>
  <c r="G103" i="36" s="1"/>
  <c r="I100" i="36"/>
  <c r="H100" i="36" s="1"/>
  <c r="J100" i="36" s="1"/>
  <c r="C101" i="36" s="1"/>
  <c r="A106" i="36"/>
  <c r="D105" i="36"/>
  <c r="B105" i="36"/>
  <c r="E105" i="36" l="1"/>
  <c r="I101" i="36"/>
  <c r="H101" i="36" s="1"/>
  <c r="J101" i="36" s="1"/>
  <c r="C102" i="36" s="1"/>
  <c r="A107" i="36"/>
  <c r="B106" i="36"/>
  <c r="D106" i="36"/>
  <c r="G104" i="36" l="1"/>
  <c r="E106" i="36"/>
  <c r="G105" i="36" s="1"/>
  <c r="I102" i="36"/>
  <c r="H102" i="36" s="1"/>
  <c r="J102" i="36" s="1"/>
  <c r="C103" i="36" s="1"/>
  <c r="A108" i="36"/>
  <c r="B107" i="36"/>
  <c r="D107" i="36"/>
  <c r="E107" i="36" l="1"/>
  <c r="I103" i="36"/>
  <c r="H103" i="36" s="1"/>
  <c r="J103" i="36" s="1"/>
  <c r="C104" i="36" s="1"/>
  <c r="B108" i="36"/>
  <c r="A109" i="36"/>
  <c r="D108" i="36"/>
  <c r="G106" i="36" l="1"/>
  <c r="E108" i="36"/>
  <c r="G107" i="36" s="1"/>
  <c r="I104" i="36"/>
  <c r="H104" i="36" s="1"/>
  <c r="J104" i="36" s="1"/>
  <c r="C105" i="36" s="1"/>
  <c r="A110" i="36"/>
  <c r="D109" i="36"/>
  <c r="B109" i="36"/>
  <c r="E109" i="36" l="1"/>
  <c r="I105" i="36"/>
  <c r="H105" i="36" s="1"/>
  <c r="J105" i="36" s="1"/>
  <c r="C106" i="36" s="1"/>
  <c r="A111" i="36"/>
  <c r="B110" i="36"/>
  <c r="D110" i="36"/>
  <c r="G109" i="36" l="1"/>
  <c r="G108" i="36"/>
  <c r="E110" i="36"/>
  <c r="I106" i="36"/>
  <c r="H106" i="36" s="1"/>
  <c r="J106" i="36" s="1"/>
  <c r="C107" i="36" s="1"/>
  <c r="A112" i="36"/>
  <c r="B111" i="36"/>
  <c r="D111" i="36"/>
  <c r="E111" i="36" l="1"/>
  <c r="I107" i="36"/>
  <c r="H107" i="36" s="1"/>
  <c r="J107" i="36" s="1"/>
  <c r="C108" i="36" s="1"/>
  <c r="A113" i="36"/>
  <c r="D112" i="36"/>
  <c r="B112" i="36"/>
  <c r="G110" i="36" l="1"/>
  <c r="E112" i="36"/>
  <c r="I108" i="36"/>
  <c r="H108" i="36" s="1"/>
  <c r="J108" i="36" s="1"/>
  <c r="C109" i="36" s="1"/>
  <c r="A114" i="36"/>
  <c r="D113" i="36"/>
  <c r="B113" i="36"/>
  <c r="G111" i="36" l="1"/>
  <c r="E113" i="36"/>
  <c r="G112" i="36" s="1"/>
  <c r="I109" i="36"/>
  <c r="H109" i="36" s="1"/>
  <c r="J109" i="36" s="1"/>
  <c r="C110" i="36" s="1"/>
  <c r="A115" i="36"/>
  <c r="D114" i="36"/>
  <c r="B114" i="36"/>
  <c r="E114" i="36" l="1"/>
  <c r="I110" i="36"/>
  <c r="H110" i="36" s="1"/>
  <c r="J110" i="36" s="1"/>
  <c r="C111" i="36" s="1"/>
  <c r="A116" i="36"/>
  <c r="B115" i="36"/>
  <c r="D115" i="36"/>
  <c r="G113" i="36" l="1"/>
  <c r="E115" i="36"/>
  <c r="G114" i="36" s="1"/>
  <c r="I111" i="36"/>
  <c r="H111" i="36" s="1"/>
  <c r="J111" i="36" s="1"/>
  <c r="C112" i="36" s="1"/>
  <c r="A117" i="36"/>
  <c r="D116" i="36"/>
  <c r="B116" i="36"/>
  <c r="E116" i="36" l="1"/>
  <c r="I112" i="36"/>
  <c r="H112" i="36" s="1"/>
  <c r="J112" i="36" s="1"/>
  <c r="C113" i="36" s="1"/>
  <c r="D117" i="36"/>
  <c r="A118" i="36"/>
  <c r="B117" i="36"/>
  <c r="G115" i="36" l="1"/>
  <c r="E117" i="36"/>
  <c r="G116" i="36" s="1"/>
  <c r="I113" i="36"/>
  <c r="H113" i="36" s="1"/>
  <c r="J113" i="36" s="1"/>
  <c r="C114" i="36" s="1"/>
  <c r="A119" i="36"/>
  <c r="B118" i="36"/>
  <c r="D118" i="36"/>
  <c r="E118" i="36" l="1"/>
  <c r="I114" i="36"/>
  <c r="H114" i="36" s="1"/>
  <c r="J114" i="36" s="1"/>
  <c r="C115" i="36" s="1"/>
  <c r="A120" i="36"/>
  <c r="B119" i="36"/>
  <c r="D119" i="36"/>
  <c r="G117" i="36" l="1"/>
  <c r="E119" i="36"/>
  <c r="G118" i="36" s="1"/>
  <c r="I115" i="36"/>
  <c r="H115" i="36" s="1"/>
  <c r="J115" i="36" s="1"/>
  <c r="C116" i="36" s="1"/>
  <c r="B120" i="36"/>
  <c r="A121" i="36"/>
  <c r="D120" i="36"/>
  <c r="E120" i="36" l="1"/>
  <c r="I116" i="36"/>
  <c r="H116" i="36" s="1"/>
  <c r="J116" i="36" s="1"/>
  <c r="C117" i="36" s="1"/>
  <c r="A122" i="36"/>
  <c r="D121" i="36"/>
  <c r="B121" i="36"/>
  <c r="G119" i="36" l="1"/>
  <c r="E121" i="36"/>
  <c r="I117" i="36"/>
  <c r="H117" i="36" s="1"/>
  <c r="J117" i="36" s="1"/>
  <c r="C118" i="36" s="1"/>
  <c r="A123" i="36"/>
  <c r="D122" i="36"/>
  <c r="B122" i="36"/>
  <c r="G120" i="36" l="1"/>
  <c r="E122" i="36"/>
  <c r="I118" i="36"/>
  <c r="H118" i="36" s="1"/>
  <c r="J118" i="36" s="1"/>
  <c r="C119" i="36" s="1"/>
  <c r="A124" i="36"/>
  <c r="B123" i="36"/>
  <c r="D123" i="36"/>
  <c r="G121" i="36" l="1"/>
  <c r="E123" i="36"/>
  <c r="I119" i="36"/>
  <c r="H119" i="36" s="1"/>
  <c r="J119" i="36" s="1"/>
  <c r="C120" i="36" s="1"/>
  <c r="A125" i="36"/>
  <c r="B124" i="36"/>
  <c r="D124" i="36"/>
  <c r="G122" i="36" l="1"/>
  <c r="E124" i="36"/>
  <c r="A126" i="36"/>
  <c r="D125" i="36"/>
  <c r="B125" i="36"/>
  <c r="I120" i="36"/>
  <c r="H120" i="36" s="1"/>
  <c r="J120" i="36" s="1"/>
  <c r="C121" i="36" s="1"/>
  <c r="G123" i="36" l="1"/>
  <c r="E125" i="36"/>
  <c r="I121" i="36"/>
  <c r="H121" i="36" s="1"/>
  <c r="J121" i="36" s="1"/>
  <c r="C122" i="36" s="1"/>
  <c r="A127" i="36"/>
  <c r="D126" i="36"/>
  <c r="B126" i="36"/>
  <c r="G124" i="36" l="1"/>
  <c r="E126" i="36"/>
  <c r="I122" i="36"/>
  <c r="H122" i="36" s="1"/>
  <c r="J122" i="36" s="1"/>
  <c r="C123" i="36" s="1"/>
  <c r="A128" i="36"/>
  <c r="B127" i="36"/>
  <c r="D127" i="36"/>
  <c r="G125" i="36" l="1"/>
  <c r="E127" i="36"/>
  <c r="A129" i="36"/>
  <c r="B128" i="36"/>
  <c r="D128" i="36"/>
  <c r="I123" i="36"/>
  <c r="H123" i="36" s="1"/>
  <c r="J123" i="36" s="1"/>
  <c r="C124" i="36" s="1"/>
  <c r="G126" i="36" l="1"/>
  <c r="E128" i="36"/>
  <c r="I124" i="36"/>
  <c r="H124" i="36" s="1"/>
  <c r="J124" i="36" s="1"/>
  <c r="C125" i="36" s="1"/>
  <c r="A130" i="36"/>
  <c r="D129" i="36"/>
  <c r="B129" i="36"/>
  <c r="G127" i="36" l="1"/>
  <c r="E129" i="36"/>
  <c r="I125" i="36"/>
  <c r="H125" i="36" s="1"/>
  <c r="J125" i="36" s="1"/>
  <c r="C126" i="36" s="1"/>
  <c r="B130" i="36"/>
  <c r="A131" i="36"/>
  <c r="D130" i="36"/>
  <c r="G128" i="36" l="1"/>
  <c r="E130" i="36"/>
  <c r="I126" i="36"/>
  <c r="H126" i="36" s="1"/>
  <c r="J126" i="36" s="1"/>
  <c r="C127" i="36" s="1"/>
  <c r="A132" i="36"/>
  <c r="B131" i="36"/>
  <c r="D131" i="36"/>
  <c r="G129" i="36" l="1"/>
  <c r="E131" i="36"/>
  <c r="I127" i="36"/>
  <c r="H127" i="36" s="1"/>
  <c r="J127" i="36" s="1"/>
  <c r="C128" i="36" s="1"/>
  <c r="A133" i="36"/>
  <c r="B132" i="36"/>
  <c r="D132" i="36"/>
  <c r="G130" i="36" l="1"/>
  <c r="E132" i="36"/>
  <c r="G131" i="36" s="1"/>
  <c r="I128" i="36"/>
  <c r="H128" i="36" s="1"/>
  <c r="J128" i="36" s="1"/>
  <c r="C129" i="36" s="1"/>
  <c r="B133" i="36"/>
  <c r="A134" i="36"/>
  <c r="D133" i="36"/>
  <c r="E133" i="36" l="1"/>
  <c r="I129" i="36"/>
  <c r="H129" i="36" s="1"/>
  <c r="J129" i="36" s="1"/>
  <c r="C130" i="36" s="1"/>
  <c r="A135" i="36"/>
  <c r="D134" i="36"/>
  <c r="B134" i="36"/>
  <c r="G132" i="36" l="1"/>
  <c r="E134" i="36"/>
  <c r="I130" i="36"/>
  <c r="H130" i="36" s="1"/>
  <c r="J130" i="36" s="1"/>
  <c r="C131" i="36" s="1"/>
  <c r="A136" i="36"/>
  <c r="B135" i="36"/>
  <c r="D135" i="36"/>
  <c r="G133" i="36" l="1"/>
  <c r="E135" i="36"/>
  <c r="I131" i="36"/>
  <c r="H131" i="36" s="1"/>
  <c r="J131" i="36" s="1"/>
  <c r="C132" i="36" s="1"/>
  <c r="A137" i="36"/>
  <c r="B136" i="36"/>
  <c r="D136" i="36"/>
  <c r="G134" i="36" l="1"/>
  <c r="E136" i="36"/>
  <c r="G135" i="36" s="1"/>
  <c r="I132" i="36"/>
  <c r="H132" i="36" s="1"/>
  <c r="J132" i="36" s="1"/>
  <c r="C133" i="36" s="1"/>
  <c r="A138" i="36"/>
  <c r="D137" i="36"/>
  <c r="B137" i="36"/>
  <c r="E137" i="36" l="1"/>
  <c r="I133" i="36"/>
  <c r="H133" i="36" s="1"/>
  <c r="J133" i="36" s="1"/>
  <c r="C134" i="36" s="1"/>
  <c r="A139" i="36"/>
  <c r="B138" i="36"/>
  <c r="D138" i="36"/>
  <c r="G136" i="36" l="1"/>
  <c r="E138" i="36"/>
  <c r="I134" i="36"/>
  <c r="H134" i="36" s="1"/>
  <c r="J134" i="36" s="1"/>
  <c r="C135" i="36" s="1"/>
  <c r="A140" i="36"/>
  <c r="B139" i="36"/>
  <c r="D139" i="36"/>
  <c r="G137" i="36" l="1"/>
  <c r="E139" i="36"/>
  <c r="I135" i="36"/>
  <c r="H135" i="36" s="1"/>
  <c r="J135" i="36" s="1"/>
  <c r="C136" i="36" s="1"/>
  <c r="A141" i="36"/>
  <c r="B140" i="36"/>
  <c r="D140" i="36"/>
  <c r="G138" i="36" l="1"/>
  <c r="E140" i="36"/>
  <c r="I136" i="36"/>
  <c r="H136" i="36" s="1"/>
  <c r="J136" i="36" s="1"/>
  <c r="C137" i="36" s="1"/>
  <c r="B141" i="36"/>
  <c r="A142" i="36"/>
  <c r="D141" i="36"/>
  <c r="G139" i="36" l="1"/>
  <c r="E141" i="36"/>
  <c r="I137" i="36"/>
  <c r="H137" i="36" s="1"/>
  <c r="J137" i="36" s="1"/>
  <c r="C138" i="36" s="1"/>
  <c r="A143" i="36"/>
  <c r="B142" i="36"/>
  <c r="D142" i="36"/>
  <c r="G140" i="36" l="1"/>
  <c r="E142" i="36"/>
  <c r="I138" i="36"/>
  <c r="H138" i="36" s="1"/>
  <c r="J138" i="36" s="1"/>
  <c r="C139" i="36" s="1"/>
  <c r="A144" i="36"/>
  <c r="B143" i="36"/>
  <c r="D143" i="36"/>
  <c r="G141" i="36" l="1"/>
  <c r="E143" i="36"/>
  <c r="I139" i="36"/>
  <c r="H139" i="36" s="1"/>
  <c r="J139" i="36" s="1"/>
  <c r="C140" i="36" s="1"/>
  <c r="A145" i="36"/>
  <c r="B144" i="36"/>
  <c r="D144" i="36"/>
  <c r="G142" i="36" l="1"/>
  <c r="E144" i="36"/>
  <c r="I140" i="36"/>
  <c r="H140" i="36" s="1"/>
  <c r="J140" i="36" s="1"/>
  <c r="C141" i="36" s="1"/>
  <c r="A146" i="36"/>
  <c r="B145" i="36"/>
  <c r="D145" i="36"/>
  <c r="G143" i="36" l="1"/>
  <c r="E145" i="36"/>
  <c r="I141" i="36"/>
  <c r="H141" i="36" s="1"/>
  <c r="J141" i="36" s="1"/>
  <c r="C142" i="36" s="1"/>
  <c r="D146" i="36"/>
  <c r="A147" i="36"/>
  <c r="B146" i="36"/>
  <c r="G144" i="36" l="1"/>
  <c r="E146" i="36"/>
  <c r="I142" i="36"/>
  <c r="H142" i="36" s="1"/>
  <c r="J142" i="36" s="1"/>
  <c r="C143" i="36" s="1"/>
  <c r="A148" i="36"/>
  <c r="D147" i="36"/>
  <c r="B147" i="36"/>
  <c r="G145" i="36" l="1"/>
  <c r="E147" i="36"/>
  <c r="I143" i="36"/>
  <c r="H143" i="36" s="1"/>
  <c r="J143" i="36" s="1"/>
  <c r="C144" i="36" s="1"/>
  <c r="A149" i="36"/>
  <c r="B148" i="36"/>
  <c r="D148" i="36"/>
  <c r="G146" i="36" l="1"/>
  <c r="E148" i="36"/>
  <c r="I144" i="36"/>
  <c r="H144" i="36" s="1"/>
  <c r="J144" i="36" s="1"/>
  <c r="C145" i="36" s="1"/>
  <c r="A150" i="36"/>
  <c r="D149" i="36"/>
  <c r="B149" i="36"/>
  <c r="G147" i="36" l="1"/>
  <c r="E149" i="36"/>
  <c r="I145" i="36"/>
  <c r="H145" i="36" s="1"/>
  <c r="J145" i="36" s="1"/>
  <c r="C146" i="36" s="1"/>
  <c r="A151" i="36"/>
  <c r="B150" i="36"/>
  <c r="D150" i="36"/>
  <c r="G148" i="36" l="1"/>
  <c r="E150" i="36"/>
  <c r="I146" i="36"/>
  <c r="H146" i="36" s="1"/>
  <c r="J146" i="36" s="1"/>
  <c r="C147" i="36" s="1"/>
  <c r="A152" i="36"/>
  <c r="B151" i="36"/>
  <c r="D151" i="36"/>
  <c r="G149" i="36" l="1"/>
  <c r="E151" i="36"/>
  <c r="I147" i="36"/>
  <c r="H147" i="36" s="1"/>
  <c r="J147" i="36" s="1"/>
  <c r="C148" i="36" s="1"/>
  <c r="A153" i="36"/>
  <c r="B152" i="36"/>
  <c r="D152" i="36"/>
  <c r="G150" i="36" l="1"/>
  <c r="E152" i="36"/>
  <c r="I148" i="36"/>
  <c r="H148" i="36" s="1"/>
  <c r="J148" i="36" s="1"/>
  <c r="C149" i="36" s="1"/>
  <c r="A154" i="36"/>
  <c r="B153" i="36"/>
  <c r="D153" i="36"/>
  <c r="G151" i="36" l="1"/>
  <c r="E153" i="36"/>
  <c r="I149" i="36"/>
  <c r="H149" i="36" s="1"/>
  <c r="J149" i="36" s="1"/>
  <c r="C150" i="36" s="1"/>
  <c r="A155" i="36"/>
  <c r="B154" i="36"/>
  <c r="D154" i="36"/>
  <c r="G152" i="36" l="1"/>
  <c r="E154" i="36"/>
  <c r="I150" i="36"/>
  <c r="H150" i="36" s="1"/>
  <c r="J150" i="36" s="1"/>
  <c r="C151" i="36" s="1"/>
  <c r="A156" i="36"/>
  <c r="B155" i="36"/>
  <c r="D155" i="36"/>
  <c r="G153" i="36" l="1"/>
  <c r="E155" i="36"/>
  <c r="I151" i="36"/>
  <c r="H151" i="36" s="1"/>
  <c r="J151" i="36" s="1"/>
  <c r="C152" i="36" s="1"/>
  <c r="B156" i="36"/>
  <c r="A157" i="36"/>
  <c r="D156" i="36"/>
  <c r="G154" i="36" l="1"/>
  <c r="E156" i="36"/>
  <c r="I152" i="36"/>
  <c r="H152" i="36" s="1"/>
  <c r="J152" i="36" s="1"/>
  <c r="C153" i="36" s="1"/>
  <c r="A158" i="36"/>
  <c r="B157" i="36"/>
  <c r="D157" i="36"/>
  <c r="G155" i="36" l="1"/>
  <c r="E157" i="36"/>
  <c r="I153" i="36"/>
  <c r="H153" i="36" s="1"/>
  <c r="J153" i="36" s="1"/>
  <c r="C154" i="36" s="1"/>
  <c r="A159" i="36"/>
  <c r="D158" i="36"/>
  <c r="B158" i="36"/>
  <c r="G156" i="36" l="1"/>
  <c r="E158" i="36"/>
  <c r="G157" i="36" s="1"/>
  <c r="I154" i="36"/>
  <c r="H154" i="36" s="1"/>
  <c r="J154" i="36" s="1"/>
  <c r="C155" i="36" s="1"/>
  <c r="A160" i="36"/>
  <c r="B159" i="36"/>
  <c r="D159" i="36"/>
  <c r="E159" i="36" l="1"/>
  <c r="I155" i="36"/>
  <c r="H155" i="36" s="1"/>
  <c r="J155" i="36" s="1"/>
  <c r="C156" i="36" s="1"/>
  <c r="A161" i="36"/>
  <c r="B160" i="36"/>
  <c r="D160" i="36"/>
  <c r="G158" i="36" l="1"/>
  <c r="E160" i="36"/>
  <c r="I156" i="36"/>
  <c r="H156" i="36" s="1"/>
  <c r="J156" i="36" s="1"/>
  <c r="C157" i="36" s="1"/>
  <c r="A162" i="36"/>
  <c r="B161" i="36"/>
  <c r="D161" i="36"/>
  <c r="G159" i="36" l="1"/>
  <c r="E161" i="36"/>
  <c r="I157" i="36"/>
  <c r="H157" i="36" s="1"/>
  <c r="J157" i="36" s="1"/>
  <c r="C158" i="36" s="1"/>
  <c r="D162" i="36"/>
  <c r="A163" i="36"/>
  <c r="B162" i="36"/>
  <c r="G160" i="36" l="1"/>
  <c r="E162" i="36"/>
  <c r="I158" i="36"/>
  <c r="H158" i="36" s="1"/>
  <c r="J158" i="36" s="1"/>
  <c r="C159" i="36" s="1"/>
  <c r="A164" i="36"/>
  <c r="B163" i="36"/>
  <c r="D163" i="36"/>
  <c r="G161" i="36" l="1"/>
  <c r="E163" i="36"/>
  <c r="I159" i="36"/>
  <c r="H159" i="36" s="1"/>
  <c r="J159" i="36" s="1"/>
  <c r="C160" i="36" s="1"/>
  <c r="A165" i="36"/>
  <c r="B164" i="36"/>
  <c r="D164" i="36"/>
  <c r="G162" i="36" l="1"/>
  <c r="E164" i="36"/>
  <c r="I160" i="36"/>
  <c r="H160" i="36" s="1"/>
  <c r="J160" i="36" s="1"/>
  <c r="C161" i="36" s="1"/>
  <c r="B165" i="36"/>
  <c r="A166" i="36"/>
  <c r="D165" i="36"/>
  <c r="G163" i="36" l="1"/>
  <c r="E165" i="36"/>
  <c r="I161" i="36"/>
  <c r="H161" i="36" s="1"/>
  <c r="J161" i="36" s="1"/>
  <c r="C162" i="36" s="1"/>
  <c r="A167" i="36"/>
  <c r="D166" i="36"/>
  <c r="B166" i="36"/>
  <c r="G164" i="36" l="1"/>
  <c r="E166" i="36"/>
  <c r="I162" i="36"/>
  <c r="H162" i="36" s="1"/>
  <c r="J162" i="36" s="1"/>
  <c r="C163" i="36" s="1"/>
  <c r="A168" i="36"/>
  <c r="B167" i="36"/>
  <c r="D167" i="36"/>
  <c r="G165" i="36" l="1"/>
  <c r="E167" i="36"/>
  <c r="I163" i="36"/>
  <c r="H163" i="36" s="1"/>
  <c r="J163" i="36" s="1"/>
  <c r="C164" i="36" s="1"/>
  <c r="A169" i="36"/>
  <c r="B168" i="36"/>
  <c r="D168" i="36"/>
  <c r="G166" i="36" l="1"/>
  <c r="E168" i="36"/>
  <c r="A170" i="36"/>
  <c r="D169" i="36"/>
  <c r="B169" i="36"/>
  <c r="I164" i="36"/>
  <c r="H164" i="36" s="1"/>
  <c r="J164" i="36" s="1"/>
  <c r="C165" i="36" s="1"/>
  <c r="G167" i="36" l="1"/>
  <c r="E169" i="36"/>
  <c r="A171" i="36"/>
  <c r="D170" i="36"/>
  <c r="B170" i="36"/>
  <c r="I165" i="36"/>
  <c r="H165" i="36" s="1"/>
  <c r="J165" i="36" s="1"/>
  <c r="C166" i="36" s="1"/>
  <c r="G168" i="36" l="1"/>
  <c r="E170" i="36"/>
  <c r="I166" i="36"/>
  <c r="H166" i="36" s="1"/>
  <c r="J166" i="36" s="1"/>
  <c r="C167" i="36" s="1"/>
  <c r="A172" i="36"/>
  <c r="B171" i="36"/>
  <c r="D171" i="36"/>
  <c r="G169" i="36" l="1"/>
  <c r="E171" i="36"/>
  <c r="I167" i="36"/>
  <c r="H167" i="36" s="1"/>
  <c r="J167" i="36" s="1"/>
  <c r="C168" i="36" s="1"/>
  <c r="B172" i="36"/>
  <c r="A173" i="36"/>
  <c r="D172" i="36"/>
  <c r="G170" i="36" l="1"/>
  <c r="E172" i="36"/>
  <c r="I168" i="36"/>
  <c r="H168" i="36" s="1"/>
  <c r="J168" i="36" s="1"/>
  <c r="C169" i="36" s="1"/>
  <c r="B173" i="36"/>
  <c r="A174" i="36"/>
  <c r="D173" i="36"/>
  <c r="G171" i="36" l="1"/>
  <c r="E173" i="36"/>
  <c r="I169" i="36"/>
  <c r="H169" i="36" s="1"/>
  <c r="J169" i="36" s="1"/>
  <c r="C170" i="36" s="1"/>
  <c r="A175" i="36"/>
  <c r="B174" i="36"/>
  <c r="D174" i="36"/>
  <c r="G172" i="36" l="1"/>
  <c r="E174" i="36"/>
  <c r="I170" i="36"/>
  <c r="H170" i="36" s="1"/>
  <c r="J170" i="36" s="1"/>
  <c r="C171" i="36" s="1"/>
  <c r="A176" i="36"/>
  <c r="B175" i="36"/>
  <c r="D175" i="36"/>
  <c r="G173" i="36" l="1"/>
  <c r="E175" i="36"/>
  <c r="I171" i="36"/>
  <c r="H171" i="36" s="1"/>
  <c r="J171" i="36" s="1"/>
  <c r="C172" i="36" s="1"/>
  <c r="A177" i="36"/>
  <c r="D176" i="36"/>
  <c r="B176" i="36"/>
  <c r="G174" i="36" l="1"/>
  <c r="E176" i="36"/>
  <c r="G175" i="36" s="1"/>
  <c r="I172" i="36"/>
  <c r="H172" i="36" s="1"/>
  <c r="J172" i="36" s="1"/>
  <c r="C173" i="36" s="1"/>
  <c r="A178" i="36"/>
  <c r="D177" i="36"/>
  <c r="B177" i="36"/>
  <c r="E177" i="36" l="1"/>
  <c r="I173" i="36"/>
  <c r="H173" i="36" s="1"/>
  <c r="J173" i="36" s="1"/>
  <c r="C174" i="36" s="1"/>
  <c r="A179" i="36"/>
  <c r="D178" i="36"/>
  <c r="B178" i="36"/>
  <c r="G176" i="36" l="1"/>
  <c r="E178" i="36"/>
  <c r="I174" i="36"/>
  <c r="H174" i="36" s="1"/>
  <c r="J174" i="36" s="1"/>
  <c r="C175" i="36" s="1"/>
  <c r="A180" i="36"/>
  <c r="B179" i="36"/>
  <c r="D179" i="36"/>
  <c r="G177" i="36" l="1"/>
  <c r="E179" i="36"/>
  <c r="I175" i="36"/>
  <c r="H175" i="36" s="1"/>
  <c r="J175" i="36" s="1"/>
  <c r="C176" i="36" s="1"/>
  <c r="A181" i="36"/>
  <c r="B180" i="36"/>
  <c r="D180" i="36"/>
  <c r="G178" i="36" l="1"/>
  <c r="E180" i="36"/>
  <c r="I176" i="36"/>
  <c r="H176" i="36" s="1"/>
  <c r="J176" i="36" s="1"/>
  <c r="C177" i="36" s="1"/>
  <c r="D181" i="36"/>
  <c r="A182" i="36"/>
  <c r="B181" i="36"/>
  <c r="G179" i="36" l="1"/>
  <c r="E181" i="36"/>
  <c r="I177" i="36"/>
  <c r="H177" i="36" s="1"/>
  <c r="J177" i="36" s="1"/>
  <c r="C178" i="36" s="1"/>
  <c r="A183" i="36"/>
  <c r="B182" i="36"/>
  <c r="D182" i="36"/>
  <c r="G180" i="36" l="1"/>
  <c r="E182" i="36"/>
  <c r="G181" i="36" s="1"/>
  <c r="I178" i="36"/>
  <c r="H178" i="36" s="1"/>
  <c r="J178" i="36" s="1"/>
  <c r="C179" i="36" s="1"/>
  <c r="A184" i="36"/>
  <c r="B183" i="36"/>
  <c r="D183" i="36"/>
  <c r="E183" i="36" l="1"/>
  <c r="I179" i="36"/>
  <c r="H179" i="36" s="1"/>
  <c r="J179" i="36" s="1"/>
  <c r="C180" i="36" s="1"/>
  <c r="A185" i="36"/>
  <c r="D184" i="36"/>
  <c r="B184" i="36"/>
  <c r="G182" i="36" l="1"/>
  <c r="E184" i="36"/>
  <c r="I180" i="36"/>
  <c r="H180" i="36" s="1"/>
  <c r="J180" i="36" s="1"/>
  <c r="C181" i="36" s="1"/>
  <c r="A186" i="36"/>
  <c r="D185" i="36"/>
  <c r="B185" i="36"/>
  <c r="G183" i="36" l="1"/>
  <c r="E185" i="36"/>
  <c r="I181" i="36"/>
  <c r="H181" i="36" s="1"/>
  <c r="J181" i="36" s="1"/>
  <c r="C182" i="36" s="1"/>
  <c r="A187" i="36"/>
  <c r="B186" i="36"/>
  <c r="D186" i="36"/>
  <c r="G184" i="36" l="1"/>
  <c r="E186" i="36"/>
  <c r="I182" i="36"/>
  <c r="H182" i="36" s="1"/>
  <c r="J182" i="36" s="1"/>
  <c r="C183" i="36" s="1"/>
  <c r="A188" i="36"/>
  <c r="B187" i="36"/>
  <c r="D187" i="36"/>
  <c r="G185" i="36" l="1"/>
  <c r="E187" i="36"/>
  <c r="I183" i="36"/>
  <c r="H183" i="36" s="1"/>
  <c r="J183" i="36" s="1"/>
  <c r="C184" i="36" s="1"/>
  <c r="A189" i="36"/>
  <c r="D188" i="36"/>
  <c r="B188" i="36"/>
  <c r="G186" i="36" l="1"/>
  <c r="E188" i="36"/>
  <c r="I184" i="36"/>
  <c r="H184" i="36" s="1"/>
  <c r="J184" i="36" s="1"/>
  <c r="C185" i="36" s="1"/>
  <c r="A190" i="36"/>
  <c r="B189" i="36"/>
  <c r="D189" i="36"/>
  <c r="G187" i="36" l="1"/>
  <c r="E189" i="36"/>
  <c r="I185" i="36"/>
  <c r="H185" i="36" s="1"/>
  <c r="J185" i="36" s="1"/>
  <c r="C186" i="36" s="1"/>
  <c r="A191" i="36"/>
  <c r="D190" i="36"/>
  <c r="B190" i="36"/>
  <c r="G188" i="36" l="1"/>
  <c r="E190" i="36"/>
  <c r="I186" i="36"/>
  <c r="H186" i="36" s="1"/>
  <c r="J186" i="36" s="1"/>
  <c r="C187" i="36" s="1"/>
  <c r="A192" i="36"/>
  <c r="B191" i="36"/>
  <c r="D191" i="36"/>
  <c r="G189" i="36" l="1"/>
  <c r="E191" i="36"/>
  <c r="I187" i="36"/>
  <c r="H187" i="36" s="1"/>
  <c r="J187" i="36" s="1"/>
  <c r="C188" i="36" s="1"/>
  <c r="A193" i="36"/>
  <c r="D192" i="36"/>
  <c r="B192" i="36"/>
  <c r="G190" i="36" l="1"/>
  <c r="E192" i="36"/>
  <c r="I188" i="36"/>
  <c r="H188" i="36" s="1"/>
  <c r="J188" i="36" s="1"/>
  <c r="C189" i="36" s="1"/>
  <c r="A194" i="36"/>
  <c r="B193" i="36"/>
  <c r="D193" i="36"/>
  <c r="G191" i="36" l="1"/>
  <c r="E193" i="36"/>
  <c r="G192" i="36" s="1"/>
  <c r="D194" i="36"/>
  <c r="A195" i="36"/>
  <c r="B194" i="36"/>
  <c r="I189" i="36"/>
  <c r="H189" i="36" s="1"/>
  <c r="J189" i="36" s="1"/>
  <c r="C190" i="36" s="1"/>
  <c r="E194" i="36" l="1"/>
  <c r="I190" i="36"/>
  <c r="H190" i="36" s="1"/>
  <c r="J190" i="36" s="1"/>
  <c r="C191" i="36" s="1"/>
  <c r="A196" i="36"/>
  <c r="B195" i="36"/>
  <c r="D195" i="36"/>
  <c r="G193" i="36" l="1"/>
  <c r="E195" i="36"/>
  <c r="A197" i="36"/>
  <c r="B196" i="36"/>
  <c r="D196" i="36"/>
  <c r="I191" i="36"/>
  <c r="H191" i="36" s="1"/>
  <c r="J191" i="36" s="1"/>
  <c r="C192" i="36" s="1"/>
  <c r="G194" i="36" l="1"/>
  <c r="E196" i="36"/>
  <c r="I192" i="36"/>
  <c r="H192" i="36" s="1"/>
  <c r="J192" i="36" s="1"/>
  <c r="C193" i="36" s="1"/>
  <c r="A198" i="36"/>
  <c r="B197" i="36"/>
  <c r="D197" i="36"/>
  <c r="G195" i="36" l="1"/>
  <c r="E197" i="36"/>
  <c r="I193" i="36"/>
  <c r="H193" i="36" s="1"/>
  <c r="J193" i="36" s="1"/>
  <c r="C194" i="36" s="1"/>
  <c r="A199" i="36"/>
  <c r="D198" i="36"/>
  <c r="B198" i="36"/>
  <c r="G196" i="36" l="1"/>
  <c r="E198" i="36"/>
  <c r="I194" i="36"/>
  <c r="H194" i="36" s="1"/>
  <c r="J194" i="36" s="1"/>
  <c r="C195" i="36" s="1"/>
  <c r="A200" i="36"/>
  <c r="B199" i="36"/>
  <c r="D199" i="36"/>
  <c r="G197" i="36" l="1"/>
  <c r="E199" i="36"/>
  <c r="I195" i="36"/>
  <c r="H195" i="36" s="1"/>
  <c r="J195" i="36" s="1"/>
  <c r="C196" i="36" s="1"/>
  <c r="A201" i="36"/>
  <c r="B200" i="36"/>
  <c r="D200" i="36"/>
  <c r="G198" i="36" l="1"/>
  <c r="E200" i="36"/>
  <c r="I196" i="36"/>
  <c r="H196" i="36" s="1"/>
  <c r="J196" i="36" s="1"/>
  <c r="C197" i="36" s="1"/>
  <c r="A202" i="36"/>
  <c r="D201" i="36"/>
  <c r="B201" i="36"/>
  <c r="G199" i="36" l="1"/>
  <c r="E201" i="36"/>
  <c r="I197" i="36"/>
  <c r="H197" i="36" s="1"/>
  <c r="J197" i="36" s="1"/>
  <c r="C198" i="36" s="1"/>
  <c r="A203" i="36"/>
  <c r="B202" i="36"/>
  <c r="D202" i="36"/>
  <c r="G200" i="36" l="1"/>
  <c r="E202" i="36"/>
  <c r="I198" i="36"/>
  <c r="H198" i="36" s="1"/>
  <c r="J198" i="36" s="1"/>
  <c r="C199" i="36" s="1"/>
  <c r="A204" i="36"/>
  <c r="B203" i="36"/>
  <c r="D203" i="36"/>
  <c r="G201" i="36" l="1"/>
  <c r="E203" i="36"/>
  <c r="I199" i="36"/>
  <c r="H199" i="36" s="1"/>
  <c r="J199" i="36" s="1"/>
  <c r="C200" i="36" s="1"/>
  <c r="A205" i="36"/>
  <c r="B204" i="36"/>
  <c r="D204" i="36"/>
  <c r="G202" i="36" l="1"/>
  <c r="E204" i="36"/>
  <c r="I200" i="36"/>
  <c r="H200" i="36" s="1"/>
  <c r="J200" i="36" s="1"/>
  <c r="C201" i="36" s="1"/>
  <c r="B205" i="36"/>
  <c r="A206" i="36"/>
  <c r="D205" i="36"/>
  <c r="G203" i="36" l="1"/>
  <c r="E205" i="36"/>
  <c r="I201" i="36"/>
  <c r="H201" i="36" s="1"/>
  <c r="J201" i="36" s="1"/>
  <c r="C202" i="36" s="1"/>
  <c r="A207" i="36"/>
  <c r="B206" i="36"/>
  <c r="D206" i="36"/>
  <c r="G204" i="36" l="1"/>
  <c r="E206" i="36"/>
  <c r="I202" i="36"/>
  <c r="H202" i="36" s="1"/>
  <c r="J202" i="36" s="1"/>
  <c r="C203" i="36" s="1"/>
  <c r="A208" i="36"/>
  <c r="B207" i="36"/>
  <c r="D207" i="36"/>
  <c r="G205" i="36" l="1"/>
  <c r="E207" i="36"/>
  <c r="I203" i="36"/>
  <c r="H203" i="36" s="1"/>
  <c r="J203" i="36" s="1"/>
  <c r="C204" i="36" s="1"/>
  <c r="A209" i="36"/>
  <c r="B208" i="36"/>
  <c r="D208" i="36"/>
  <c r="G206" i="36" l="1"/>
  <c r="E208" i="36"/>
  <c r="I204" i="36"/>
  <c r="H204" i="36" s="1"/>
  <c r="J204" i="36" s="1"/>
  <c r="C205" i="36" s="1"/>
  <c r="A210" i="36"/>
  <c r="D209" i="36"/>
  <c r="B209" i="36"/>
  <c r="G207" i="36" l="1"/>
  <c r="E209" i="36"/>
  <c r="I205" i="36"/>
  <c r="H205" i="36" s="1"/>
  <c r="J205" i="36" s="1"/>
  <c r="C206" i="36" s="1"/>
  <c r="A211" i="36"/>
  <c r="D210" i="36"/>
  <c r="B210" i="36"/>
  <c r="G208" i="36" l="1"/>
  <c r="E210" i="36"/>
  <c r="I206" i="36"/>
  <c r="H206" i="36" s="1"/>
  <c r="J206" i="36" s="1"/>
  <c r="C207" i="36" s="1"/>
  <c r="A212" i="36"/>
  <c r="D211" i="36"/>
  <c r="B211" i="36"/>
  <c r="G209" i="36" l="1"/>
  <c r="E211" i="36"/>
  <c r="G210" i="36" s="1"/>
  <c r="I207" i="36"/>
  <c r="H207" i="36" s="1"/>
  <c r="J207" i="36" s="1"/>
  <c r="C208" i="36" s="1"/>
  <c r="B212" i="36"/>
  <c r="A213" i="36"/>
  <c r="D212" i="36"/>
  <c r="E212" i="36" l="1"/>
  <c r="I208" i="36"/>
  <c r="H208" i="36" s="1"/>
  <c r="J208" i="36" s="1"/>
  <c r="C209" i="36" s="1"/>
  <c r="D213" i="36"/>
  <c r="B213" i="36"/>
  <c r="A214" i="36"/>
  <c r="G211" i="36" l="1"/>
  <c r="E213" i="36"/>
  <c r="I209" i="36"/>
  <c r="H209" i="36" s="1"/>
  <c r="J209" i="36" s="1"/>
  <c r="C210" i="36" s="1"/>
  <c r="A215" i="36"/>
  <c r="D214" i="36"/>
  <c r="B214" i="36"/>
  <c r="G212" i="36" l="1"/>
  <c r="E214" i="36"/>
  <c r="I210" i="36"/>
  <c r="H210" i="36" s="1"/>
  <c r="J210" i="36" s="1"/>
  <c r="C211" i="36" s="1"/>
  <c r="A216" i="36"/>
  <c r="D215" i="36"/>
  <c r="B215" i="36"/>
  <c r="G213" i="36" l="1"/>
  <c r="E215" i="36"/>
  <c r="I211" i="36"/>
  <c r="H211" i="36" s="1"/>
  <c r="J211" i="36" s="1"/>
  <c r="C212" i="36" s="1"/>
  <c r="A217" i="36"/>
  <c r="B216" i="36"/>
  <c r="D216" i="36"/>
  <c r="G214" i="36" l="1"/>
  <c r="E216" i="36"/>
  <c r="I212" i="36"/>
  <c r="H212" i="36" s="1"/>
  <c r="J212" i="36" s="1"/>
  <c r="C213" i="36" s="1"/>
  <c r="A218" i="36"/>
  <c r="B217" i="36"/>
  <c r="D217" i="36"/>
  <c r="G215" i="36" l="1"/>
  <c r="E217" i="36"/>
  <c r="I213" i="36"/>
  <c r="H213" i="36" s="1"/>
  <c r="J213" i="36" s="1"/>
  <c r="C214" i="36" s="1"/>
  <c r="B218" i="36"/>
  <c r="A219" i="36"/>
  <c r="D218" i="36"/>
  <c r="G216" i="36" l="1"/>
  <c r="E218" i="36"/>
  <c r="I214" i="36"/>
  <c r="H214" i="36" s="1"/>
  <c r="J214" i="36" s="1"/>
  <c r="C215" i="36" s="1"/>
  <c r="A220" i="36"/>
  <c r="D219" i="36"/>
  <c r="B219" i="36"/>
  <c r="G217" i="36" l="1"/>
  <c r="E219" i="36"/>
  <c r="I215" i="36"/>
  <c r="H215" i="36" s="1"/>
  <c r="J215" i="36" s="1"/>
  <c r="C216" i="36" s="1"/>
  <c r="A221" i="36"/>
  <c r="B220" i="36"/>
  <c r="D220" i="36"/>
  <c r="G218" i="36" l="1"/>
  <c r="E220" i="36"/>
  <c r="I216" i="36"/>
  <c r="H216" i="36" s="1"/>
  <c r="J216" i="36" s="1"/>
  <c r="C217" i="36" s="1"/>
  <c r="D221" i="36"/>
  <c r="A222" i="36"/>
  <c r="B221" i="36"/>
  <c r="G219" i="36" l="1"/>
  <c r="E221" i="36"/>
  <c r="I217" i="36"/>
  <c r="H217" i="36" s="1"/>
  <c r="J217" i="36" s="1"/>
  <c r="C218" i="36" s="1"/>
  <c r="A223" i="36"/>
  <c r="B222" i="36"/>
  <c r="D222" i="36"/>
  <c r="G220" i="36" l="1"/>
  <c r="E222" i="36"/>
  <c r="I218" i="36"/>
  <c r="H218" i="36" s="1"/>
  <c r="J218" i="36" s="1"/>
  <c r="C219" i="36" s="1"/>
  <c r="A224" i="36"/>
  <c r="B223" i="36"/>
  <c r="D223" i="36"/>
  <c r="G221" i="36" l="1"/>
  <c r="E223" i="36"/>
  <c r="I219" i="36"/>
  <c r="H219" i="36" s="1"/>
  <c r="J219" i="36" s="1"/>
  <c r="C220" i="36" s="1"/>
  <c r="A225" i="36"/>
  <c r="B224" i="36"/>
  <c r="D224" i="36"/>
  <c r="G222" i="36" l="1"/>
  <c r="E224" i="36"/>
  <c r="I220" i="36"/>
  <c r="H220" i="36" s="1"/>
  <c r="J220" i="36" s="1"/>
  <c r="C221" i="36" s="1"/>
  <c r="A226" i="36"/>
  <c r="B225" i="36"/>
  <c r="D225" i="36"/>
  <c r="G223" i="36" l="1"/>
  <c r="E225" i="36"/>
  <c r="I221" i="36"/>
  <c r="H221" i="36" s="1"/>
  <c r="J221" i="36" s="1"/>
  <c r="C222" i="36" s="1"/>
  <c r="A227" i="36"/>
  <c r="B226" i="36"/>
  <c r="D226" i="36"/>
  <c r="G224" i="36" l="1"/>
  <c r="E226" i="36"/>
  <c r="I222" i="36"/>
  <c r="H222" i="36" s="1"/>
  <c r="J222" i="36" s="1"/>
  <c r="C223" i="36" s="1"/>
  <c r="A228" i="36"/>
  <c r="B227" i="36"/>
  <c r="D227" i="36"/>
  <c r="G225" i="36" l="1"/>
  <c r="E227" i="36"/>
  <c r="I223" i="36"/>
  <c r="H223" i="36" s="1"/>
  <c r="J223" i="36" s="1"/>
  <c r="C224" i="36" s="1"/>
  <c r="A229" i="36"/>
  <c r="D228" i="36"/>
  <c r="B228" i="36"/>
  <c r="G226" i="36" l="1"/>
  <c r="E228" i="36"/>
  <c r="I224" i="36"/>
  <c r="H224" i="36" s="1"/>
  <c r="J224" i="36" s="1"/>
  <c r="C225" i="36" s="1"/>
  <c r="B229" i="36"/>
  <c r="A230" i="36"/>
  <c r="D229" i="36"/>
  <c r="G227" i="36" l="1"/>
  <c r="E229" i="36"/>
  <c r="I225" i="36"/>
  <c r="H225" i="36" s="1"/>
  <c r="J225" i="36" s="1"/>
  <c r="C226" i="36" s="1"/>
  <c r="A231" i="36"/>
  <c r="B230" i="36"/>
  <c r="D230" i="36"/>
  <c r="G228" i="36" l="1"/>
  <c r="E230" i="36"/>
  <c r="I226" i="36"/>
  <c r="H226" i="36" s="1"/>
  <c r="J226" i="36" s="1"/>
  <c r="C227" i="36" s="1"/>
  <c r="A232" i="36"/>
  <c r="B231" i="36"/>
  <c r="D231" i="36"/>
  <c r="G229" i="36" l="1"/>
  <c r="E231" i="36"/>
  <c r="I227" i="36"/>
  <c r="H227" i="36" s="1"/>
  <c r="J227" i="36" s="1"/>
  <c r="C228" i="36" s="1"/>
  <c r="A233" i="36"/>
  <c r="D232" i="36"/>
  <c r="B232" i="36"/>
  <c r="G230" i="36" l="1"/>
  <c r="E232" i="36"/>
  <c r="G231" i="36" s="1"/>
  <c r="I228" i="36"/>
  <c r="H228" i="36" s="1"/>
  <c r="J228" i="36" s="1"/>
  <c r="C229" i="36" s="1"/>
  <c r="A234" i="36"/>
  <c r="B233" i="36"/>
  <c r="D233" i="36"/>
  <c r="E233" i="36" l="1"/>
  <c r="I229" i="36"/>
  <c r="H229" i="36" s="1"/>
  <c r="J229" i="36" s="1"/>
  <c r="C230" i="36" s="1"/>
  <c r="A235" i="36"/>
  <c r="B234" i="36"/>
  <c r="D234" i="36"/>
  <c r="G232" i="36" l="1"/>
  <c r="E234" i="36"/>
  <c r="I230" i="36"/>
  <c r="H230" i="36" s="1"/>
  <c r="J230" i="36" s="1"/>
  <c r="C231" i="36" s="1"/>
  <c r="A236" i="36"/>
  <c r="B235" i="36"/>
  <c r="D235" i="36"/>
  <c r="G233" i="36" l="1"/>
  <c r="E235" i="36"/>
  <c r="I231" i="36"/>
  <c r="H231" i="36" s="1"/>
  <c r="J231" i="36" s="1"/>
  <c r="C232" i="36" s="1"/>
  <c r="A237" i="36"/>
  <c r="B236" i="36"/>
  <c r="D236" i="36"/>
  <c r="G234" i="36" l="1"/>
  <c r="E236" i="36"/>
  <c r="I232" i="36"/>
  <c r="H232" i="36" s="1"/>
  <c r="J232" i="36" s="1"/>
  <c r="C233" i="36" s="1"/>
  <c r="B237" i="36"/>
  <c r="A238" i="36"/>
  <c r="D237" i="36"/>
  <c r="G235" i="36" l="1"/>
  <c r="E237" i="36"/>
  <c r="I233" i="36"/>
  <c r="H233" i="36" s="1"/>
  <c r="J233" i="36" s="1"/>
  <c r="C234" i="36" s="1"/>
  <c r="A239" i="36"/>
  <c r="D238" i="36"/>
  <c r="B238" i="36"/>
  <c r="G236" i="36" l="1"/>
  <c r="E238" i="36"/>
  <c r="I234" i="36"/>
  <c r="H234" i="36" s="1"/>
  <c r="J234" i="36" s="1"/>
  <c r="C235" i="36" s="1"/>
  <c r="A240" i="36"/>
  <c r="B239" i="36"/>
  <c r="D239" i="36"/>
  <c r="G237" i="36" l="1"/>
  <c r="E239" i="36"/>
  <c r="I235" i="36"/>
  <c r="H235" i="36" s="1"/>
  <c r="J235" i="36" s="1"/>
  <c r="C236" i="36" s="1"/>
  <c r="A241" i="36"/>
  <c r="B240" i="36"/>
  <c r="D240" i="36"/>
  <c r="G238" i="36" l="1"/>
  <c r="E240" i="36"/>
  <c r="I236" i="36"/>
  <c r="H236" i="36" s="1"/>
  <c r="J236" i="36" s="1"/>
  <c r="C237" i="36" s="1"/>
  <c r="A242" i="36"/>
  <c r="D241" i="36"/>
  <c r="B241" i="36"/>
  <c r="G239" i="36" l="1"/>
  <c r="E241" i="36"/>
  <c r="I237" i="36"/>
  <c r="H237" i="36" s="1"/>
  <c r="J237" i="36" s="1"/>
  <c r="C238" i="36" s="1"/>
  <c r="B242" i="36"/>
  <c r="A243" i="36"/>
  <c r="D242" i="36"/>
  <c r="G240" i="36" l="1"/>
  <c r="E242" i="36"/>
  <c r="I238" i="36"/>
  <c r="H238" i="36" s="1"/>
  <c r="J238" i="36" s="1"/>
  <c r="C239" i="36" s="1"/>
  <c r="A244" i="36"/>
  <c r="B243" i="36"/>
  <c r="D243" i="36"/>
  <c r="G241" i="36" l="1"/>
  <c r="E243" i="36"/>
  <c r="I239" i="36"/>
  <c r="H239" i="36" s="1"/>
  <c r="J239" i="36" s="1"/>
  <c r="C240" i="36" s="1"/>
  <c r="A245" i="36"/>
  <c r="B244" i="36"/>
  <c r="D244" i="36"/>
  <c r="G242" i="36" l="1"/>
  <c r="E244" i="36"/>
  <c r="I240" i="36"/>
  <c r="H240" i="36" s="1"/>
  <c r="J240" i="36" s="1"/>
  <c r="C241" i="36" s="1"/>
  <c r="B245" i="36"/>
  <c r="A246" i="36"/>
  <c r="D245" i="36"/>
  <c r="G243" i="36" l="1"/>
  <c r="E245" i="36"/>
  <c r="I241" i="36"/>
  <c r="H241" i="36" s="1"/>
  <c r="J241" i="36" s="1"/>
  <c r="C242" i="36" s="1"/>
  <c r="A247" i="36"/>
  <c r="B246" i="36"/>
  <c r="D246" i="36"/>
  <c r="G244" i="36" l="1"/>
  <c r="E246" i="36"/>
  <c r="I242" i="36"/>
  <c r="H242" i="36" s="1"/>
  <c r="J242" i="36" s="1"/>
  <c r="C243" i="36" s="1"/>
  <c r="A248" i="36"/>
  <c r="D247" i="36"/>
  <c r="B247" i="36"/>
  <c r="G245" i="36" l="1"/>
  <c r="E247" i="36"/>
  <c r="I243" i="36"/>
  <c r="H243" i="36" s="1"/>
  <c r="J243" i="36" s="1"/>
  <c r="C244" i="36" s="1"/>
  <c r="A249" i="36"/>
  <c r="D248" i="36"/>
  <c r="B248" i="36"/>
  <c r="G246" i="36" l="1"/>
  <c r="E248" i="36"/>
  <c r="I244" i="36"/>
  <c r="H244" i="36" s="1"/>
  <c r="J244" i="36" s="1"/>
  <c r="C245" i="36" s="1"/>
  <c r="A250" i="36"/>
  <c r="B249" i="36"/>
  <c r="D249" i="36"/>
  <c r="G247" i="36" l="1"/>
  <c r="E249" i="36"/>
  <c r="I245" i="36"/>
  <c r="H245" i="36" s="1"/>
  <c r="J245" i="36" s="1"/>
  <c r="C246" i="36" s="1"/>
  <c r="A251" i="36"/>
  <c r="B250" i="36"/>
  <c r="D250" i="36"/>
  <c r="G248" i="36" l="1"/>
  <c r="E250" i="36"/>
  <c r="I246" i="36"/>
  <c r="H246" i="36" s="1"/>
  <c r="J246" i="36" s="1"/>
  <c r="C247" i="36" s="1"/>
  <c r="A252" i="36"/>
  <c r="B251" i="36"/>
  <c r="D251" i="36"/>
  <c r="G249" i="36" l="1"/>
  <c r="E251" i="36"/>
  <c r="I247" i="36"/>
  <c r="H247" i="36" s="1"/>
  <c r="J247" i="36" s="1"/>
  <c r="C248" i="36" s="1"/>
  <c r="A253" i="36"/>
  <c r="D252" i="36"/>
  <c r="B252" i="36"/>
  <c r="G250" i="36" l="1"/>
  <c r="E252" i="36"/>
  <c r="I248" i="36"/>
  <c r="H248" i="36" s="1"/>
  <c r="J248" i="36" s="1"/>
  <c r="C249" i="36" s="1"/>
  <c r="D253" i="36"/>
  <c r="A254" i="36"/>
  <c r="B253" i="36"/>
  <c r="G251" i="36" l="1"/>
  <c r="E253" i="36"/>
  <c r="I249" i="36"/>
  <c r="H249" i="36" s="1"/>
  <c r="J249" i="36" s="1"/>
  <c r="C250" i="36" s="1"/>
  <c r="A255" i="36"/>
  <c r="B254" i="36"/>
  <c r="D254" i="36"/>
  <c r="G252" i="36" l="1"/>
  <c r="E254" i="36"/>
  <c r="I250" i="36"/>
  <c r="H250" i="36" s="1"/>
  <c r="J250" i="36" s="1"/>
  <c r="C251" i="36" s="1"/>
  <c r="A256" i="36"/>
  <c r="D255" i="36"/>
  <c r="B255" i="36"/>
  <c r="G253" i="36" l="1"/>
  <c r="E255" i="36"/>
  <c r="I251" i="36"/>
  <c r="H251" i="36" s="1"/>
  <c r="J251" i="36" s="1"/>
  <c r="C252" i="36" s="1"/>
  <c r="A257" i="36"/>
  <c r="B256" i="36"/>
  <c r="D256" i="36"/>
  <c r="G254" i="36" l="1"/>
  <c r="E256" i="36"/>
  <c r="I252" i="36"/>
  <c r="H252" i="36" s="1"/>
  <c r="J252" i="36" s="1"/>
  <c r="C253" i="36" s="1"/>
  <c r="A258" i="36"/>
  <c r="D257" i="36"/>
  <c r="B257" i="36"/>
  <c r="G255" i="36" l="1"/>
  <c r="E257" i="36"/>
  <c r="I253" i="36"/>
  <c r="H253" i="36" s="1"/>
  <c r="J253" i="36" s="1"/>
  <c r="C254" i="36" s="1"/>
  <c r="D258" i="36"/>
  <c r="A259" i="36"/>
  <c r="B258" i="36"/>
  <c r="G256" i="36" l="1"/>
  <c r="E258" i="36"/>
  <c r="I254" i="36"/>
  <c r="H254" i="36" s="1"/>
  <c r="J254" i="36" s="1"/>
  <c r="C255" i="36" s="1"/>
  <c r="A260" i="36"/>
  <c r="B259" i="36"/>
  <c r="D259" i="36"/>
  <c r="G257" i="36" l="1"/>
  <c r="E259" i="36"/>
  <c r="I255" i="36"/>
  <c r="H255" i="36" s="1"/>
  <c r="J255" i="36" s="1"/>
  <c r="C256" i="36" s="1"/>
  <c r="A261" i="36"/>
  <c r="B260" i="36"/>
  <c r="D260" i="36"/>
  <c r="G258" i="36" l="1"/>
  <c r="E260" i="36"/>
  <c r="I256" i="36"/>
  <c r="H256" i="36" s="1"/>
  <c r="J256" i="36" s="1"/>
  <c r="C257" i="36" s="1"/>
  <c r="D261" i="36"/>
  <c r="A262" i="36"/>
  <c r="B261" i="36"/>
  <c r="G259" i="36" l="1"/>
  <c r="E261" i="36"/>
  <c r="I257" i="36"/>
  <c r="H257" i="36" s="1"/>
  <c r="J257" i="36" s="1"/>
  <c r="C258" i="36" s="1"/>
  <c r="A263" i="36"/>
  <c r="B262" i="36"/>
  <c r="D262" i="36"/>
  <c r="G260" i="36" l="1"/>
  <c r="E262" i="36"/>
  <c r="I258" i="36"/>
  <c r="H258" i="36" s="1"/>
  <c r="J258" i="36" s="1"/>
  <c r="C259" i="36" s="1"/>
  <c r="A264" i="36"/>
  <c r="B263" i="36"/>
  <c r="D263" i="36"/>
  <c r="G261" i="36" l="1"/>
  <c r="E263" i="36"/>
  <c r="I259" i="36"/>
  <c r="H259" i="36" s="1"/>
  <c r="J259" i="36" s="1"/>
  <c r="C260" i="36" s="1"/>
  <c r="A265" i="36"/>
  <c r="B264" i="36"/>
  <c r="D264" i="36"/>
  <c r="G262" i="36" l="1"/>
  <c r="E264" i="36"/>
  <c r="I260" i="36"/>
  <c r="H260" i="36" s="1"/>
  <c r="J260" i="36" s="1"/>
  <c r="C261" i="36" s="1"/>
  <c r="A266" i="36"/>
  <c r="B265" i="36"/>
  <c r="D265" i="36"/>
  <c r="G263" i="36" l="1"/>
  <c r="E265" i="36"/>
  <c r="I261" i="36"/>
  <c r="H261" i="36" s="1"/>
  <c r="J261" i="36" s="1"/>
  <c r="C262" i="36" s="1"/>
  <c r="D266" i="36"/>
  <c r="A267" i="36"/>
  <c r="B266" i="36"/>
  <c r="G264" i="36" l="1"/>
  <c r="E266" i="36"/>
  <c r="I262" i="36"/>
  <c r="H262" i="36" s="1"/>
  <c r="J262" i="36" s="1"/>
  <c r="C263" i="36" s="1"/>
  <c r="A268" i="36"/>
  <c r="B267" i="36"/>
  <c r="D267" i="36"/>
  <c r="G265" i="36" l="1"/>
  <c r="E267" i="36"/>
  <c r="I263" i="36"/>
  <c r="H263" i="36" s="1"/>
  <c r="J263" i="36" s="1"/>
  <c r="C264" i="36" s="1"/>
  <c r="A269" i="36"/>
  <c r="B268" i="36"/>
  <c r="D268" i="36"/>
  <c r="G266" i="36" l="1"/>
  <c r="E268" i="36"/>
  <c r="I264" i="36"/>
  <c r="H264" i="36" s="1"/>
  <c r="J264" i="36" s="1"/>
  <c r="C265" i="36" s="1"/>
  <c r="D269" i="36"/>
  <c r="A270" i="36"/>
  <c r="B269" i="36"/>
  <c r="G267" i="36" l="1"/>
  <c r="E269" i="36"/>
  <c r="I265" i="36"/>
  <c r="H265" i="36" s="1"/>
  <c r="J265" i="36" s="1"/>
  <c r="C266" i="36" s="1"/>
  <c r="A271" i="36"/>
  <c r="D270" i="36"/>
  <c r="B270" i="36"/>
  <c r="G268" i="36" l="1"/>
  <c r="E270" i="36"/>
  <c r="I266" i="36"/>
  <c r="H266" i="36" s="1"/>
  <c r="J266" i="36" s="1"/>
  <c r="C267" i="36" s="1"/>
  <c r="A272" i="36"/>
  <c r="B271" i="36"/>
  <c r="D271" i="36"/>
  <c r="G269" i="36" l="1"/>
  <c r="E271" i="36"/>
  <c r="I267" i="36"/>
  <c r="H267" i="36" s="1"/>
  <c r="J267" i="36" s="1"/>
  <c r="C268" i="36" s="1"/>
  <c r="A273" i="36"/>
  <c r="B272" i="36"/>
  <c r="D272" i="36"/>
  <c r="G270" i="36" l="1"/>
  <c r="E272" i="36"/>
  <c r="I268" i="36"/>
  <c r="H268" i="36" s="1"/>
  <c r="J268" i="36" s="1"/>
  <c r="C269" i="36" s="1"/>
  <c r="A274" i="36"/>
  <c r="D273" i="36"/>
  <c r="B273" i="36"/>
  <c r="G271" i="36" l="1"/>
  <c r="E273" i="36"/>
  <c r="I269" i="36"/>
  <c r="H269" i="36" s="1"/>
  <c r="J269" i="36" s="1"/>
  <c r="C270" i="36" s="1"/>
  <c r="A275" i="36"/>
  <c r="D274" i="36"/>
  <c r="B274" i="36"/>
  <c r="G272" i="36" l="1"/>
  <c r="E274" i="36"/>
  <c r="I270" i="36"/>
  <c r="H270" i="36" s="1"/>
  <c r="J270" i="36" s="1"/>
  <c r="C271" i="36" s="1"/>
  <c r="A276" i="36"/>
  <c r="D275" i="36"/>
  <c r="B275" i="36"/>
  <c r="G273" i="36" l="1"/>
  <c r="E275" i="36"/>
  <c r="I271" i="36"/>
  <c r="H271" i="36" s="1"/>
  <c r="J271" i="36" s="1"/>
  <c r="C272" i="36" s="1"/>
  <c r="A277" i="36"/>
  <c r="D276" i="36"/>
  <c r="B276" i="36"/>
  <c r="G274" i="36" l="1"/>
  <c r="E276" i="36"/>
  <c r="I272" i="36"/>
  <c r="H272" i="36" s="1"/>
  <c r="J272" i="36" s="1"/>
  <c r="C273" i="36" s="1"/>
  <c r="A278" i="36"/>
  <c r="B277" i="36"/>
  <c r="D277" i="36"/>
  <c r="G275" i="36" l="1"/>
  <c r="E277" i="36"/>
  <c r="I273" i="36"/>
  <c r="H273" i="36" s="1"/>
  <c r="J273" i="36" s="1"/>
  <c r="C274" i="36" s="1"/>
  <c r="A279" i="36"/>
  <c r="D278" i="36"/>
  <c r="B278" i="36"/>
  <c r="G276" i="36" l="1"/>
  <c r="E278" i="36"/>
  <c r="I274" i="36"/>
  <c r="H274" i="36" s="1"/>
  <c r="J274" i="36" s="1"/>
  <c r="C275" i="36" s="1"/>
  <c r="A280" i="36"/>
  <c r="D279" i="36"/>
  <c r="B279" i="36"/>
  <c r="G277" i="36" l="1"/>
  <c r="E279" i="36"/>
  <c r="I275" i="36"/>
  <c r="H275" i="36" s="1"/>
  <c r="J275" i="36" s="1"/>
  <c r="C276" i="36" s="1"/>
  <c r="A281" i="36"/>
  <c r="B280" i="36"/>
  <c r="D280" i="36"/>
  <c r="G278" i="36" l="1"/>
  <c r="E280" i="36"/>
  <c r="I276" i="36"/>
  <c r="H276" i="36" s="1"/>
  <c r="J276" i="36" s="1"/>
  <c r="C277" i="36" s="1"/>
  <c r="A282" i="36"/>
  <c r="B281" i="36"/>
  <c r="D281" i="36"/>
  <c r="G279" i="36" l="1"/>
  <c r="E281" i="36"/>
  <c r="I277" i="36"/>
  <c r="H277" i="36" s="1"/>
  <c r="J277" i="36" s="1"/>
  <c r="C278" i="36" s="1"/>
  <c r="A283" i="36"/>
  <c r="B282" i="36"/>
  <c r="D282" i="36"/>
  <c r="G280" i="36" l="1"/>
  <c r="E282" i="36"/>
  <c r="I278" i="36"/>
  <c r="H278" i="36" s="1"/>
  <c r="J278" i="36" s="1"/>
  <c r="C279" i="36" s="1"/>
  <c r="A284" i="36"/>
  <c r="B283" i="36"/>
  <c r="D283" i="36"/>
  <c r="G281" i="36" l="1"/>
  <c r="E283" i="36"/>
  <c r="I279" i="36"/>
  <c r="H279" i="36" s="1"/>
  <c r="J279" i="36" s="1"/>
  <c r="C280" i="36" s="1"/>
  <c r="B284" i="36"/>
  <c r="A285" i="36"/>
  <c r="D284" i="36"/>
  <c r="G282" i="36" l="1"/>
  <c r="E284" i="36"/>
  <c r="I280" i="36"/>
  <c r="H280" i="36" s="1"/>
  <c r="J280" i="36" s="1"/>
  <c r="C281" i="36" s="1"/>
  <c r="B285" i="36"/>
  <c r="A286" i="36"/>
  <c r="D285" i="36"/>
  <c r="G283" i="36" l="1"/>
  <c r="E285" i="36"/>
  <c r="I281" i="36"/>
  <c r="H281" i="36" s="1"/>
  <c r="J281" i="36" s="1"/>
  <c r="C282" i="36" s="1"/>
  <c r="A287" i="36"/>
  <c r="B286" i="36"/>
  <c r="D286" i="36"/>
  <c r="G284" i="36" l="1"/>
  <c r="E286" i="36"/>
  <c r="I282" i="36"/>
  <c r="H282" i="36" s="1"/>
  <c r="J282" i="36" s="1"/>
  <c r="C283" i="36" s="1"/>
  <c r="A288" i="36"/>
  <c r="D287" i="36"/>
  <c r="B287" i="36"/>
  <c r="G285" i="36" l="1"/>
  <c r="E287" i="36"/>
  <c r="I283" i="36"/>
  <c r="H283" i="36" s="1"/>
  <c r="J283" i="36" s="1"/>
  <c r="C284" i="36" s="1"/>
  <c r="A289" i="36"/>
  <c r="B288" i="36"/>
  <c r="D288" i="36"/>
  <c r="G286" i="36" l="1"/>
  <c r="E288" i="36"/>
  <c r="I284" i="36"/>
  <c r="H284" i="36" s="1"/>
  <c r="J284" i="36" s="1"/>
  <c r="C285" i="36" s="1"/>
  <c r="A290" i="36"/>
  <c r="D289" i="36"/>
  <c r="B289" i="36"/>
  <c r="G287" i="36" l="1"/>
  <c r="E289" i="36"/>
  <c r="I285" i="36"/>
  <c r="H285" i="36" s="1"/>
  <c r="J285" i="36" s="1"/>
  <c r="C286" i="36" s="1"/>
  <c r="A291" i="36"/>
  <c r="B290" i="36"/>
  <c r="D290" i="36"/>
  <c r="G288" i="36" l="1"/>
  <c r="E290" i="36"/>
  <c r="I286" i="36"/>
  <c r="H286" i="36" s="1"/>
  <c r="J286" i="36" s="1"/>
  <c r="C287" i="36" s="1"/>
  <c r="A292" i="36"/>
  <c r="B291" i="36"/>
  <c r="D291" i="36"/>
  <c r="G289" i="36" l="1"/>
  <c r="E291" i="36"/>
  <c r="I287" i="36"/>
  <c r="H287" i="36" s="1"/>
  <c r="J287" i="36" s="1"/>
  <c r="C288" i="36" s="1"/>
  <c r="A293" i="36"/>
  <c r="B292" i="36"/>
  <c r="D292" i="36"/>
  <c r="G290" i="36" l="1"/>
  <c r="E292" i="36"/>
  <c r="I288" i="36"/>
  <c r="H288" i="36" s="1"/>
  <c r="J288" i="36" s="1"/>
  <c r="C289" i="36" s="1"/>
  <c r="B293" i="36"/>
  <c r="A294" i="36"/>
  <c r="D293" i="36"/>
  <c r="G291" i="36" l="1"/>
  <c r="E293" i="36"/>
  <c r="I289" i="36"/>
  <c r="H289" i="36" s="1"/>
  <c r="J289" i="36" s="1"/>
  <c r="C290" i="36" s="1"/>
  <c r="A295" i="36"/>
  <c r="D294" i="36"/>
  <c r="B294" i="36"/>
  <c r="G292" i="36" l="1"/>
  <c r="E294" i="36"/>
  <c r="I290" i="36"/>
  <c r="H290" i="36" s="1"/>
  <c r="J290" i="36" s="1"/>
  <c r="C291" i="36" s="1"/>
  <c r="A296" i="36"/>
  <c r="B295" i="36"/>
  <c r="D295" i="36"/>
  <c r="G293" i="36" l="1"/>
  <c r="E295" i="36"/>
  <c r="I291" i="36"/>
  <c r="H291" i="36" s="1"/>
  <c r="J291" i="36" s="1"/>
  <c r="C292" i="36" s="1"/>
  <c r="A297" i="36"/>
  <c r="B296" i="36"/>
  <c r="D296" i="36"/>
  <c r="G294" i="36" l="1"/>
  <c r="E296" i="36"/>
  <c r="I292" i="36"/>
  <c r="H292" i="36" s="1"/>
  <c r="J292" i="36" s="1"/>
  <c r="C293" i="36" s="1"/>
  <c r="A298" i="36"/>
  <c r="D297" i="36"/>
  <c r="B297" i="36"/>
  <c r="G295" i="36" l="1"/>
  <c r="E297" i="36"/>
  <c r="I293" i="36"/>
  <c r="H293" i="36" s="1"/>
  <c r="J293" i="36" s="1"/>
  <c r="C294" i="36" s="1"/>
  <c r="A299" i="36"/>
  <c r="B298" i="36"/>
  <c r="D298" i="36"/>
  <c r="G296" i="36" l="1"/>
  <c r="E298" i="36"/>
  <c r="I294" i="36"/>
  <c r="H294" i="36" s="1"/>
  <c r="J294" i="36" s="1"/>
  <c r="C295" i="36" s="1"/>
  <c r="A300" i="36"/>
  <c r="B299" i="36"/>
  <c r="D299" i="36"/>
  <c r="G297" i="36" l="1"/>
  <c r="E299" i="36"/>
  <c r="I295" i="36"/>
  <c r="H295" i="36" s="1"/>
  <c r="J295" i="36" s="1"/>
  <c r="C296" i="36" s="1"/>
  <c r="A301" i="36"/>
  <c r="B300" i="36"/>
  <c r="D300" i="36"/>
  <c r="G298" i="36" l="1"/>
  <c r="E300" i="36"/>
  <c r="I296" i="36"/>
  <c r="H296" i="36" s="1"/>
  <c r="J296" i="36" s="1"/>
  <c r="C297" i="36" s="1"/>
  <c r="A302" i="36"/>
  <c r="D301" i="36"/>
  <c r="B301" i="36"/>
  <c r="G299" i="36" l="1"/>
  <c r="E301" i="36"/>
  <c r="I297" i="36"/>
  <c r="H297" i="36" s="1"/>
  <c r="J297" i="36" s="1"/>
  <c r="C298" i="36" s="1"/>
  <c r="A303" i="36"/>
  <c r="D302" i="36"/>
  <c r="B302" i="36"/>
  <c r="G300" i="36" l="1"/>
  <c r="E302" i="36"/>
  <c r="I298" i="36"/>
  <c r="H298" i="36" s="1"/>
  <c r="J298" i="36" s="1"/>
  <c r="C299" i="36" s="1"/>
  <c r="A304" i="36"/>
  <c r="B303" i="36"/>
  <c r="D303" i="36"/>
  <c r="G301" i="36" l="1"/>
  <c r="E303" i="36"/>
  <c r="I299" i="36"/>
  <c r="H299" i="36" s="1"/>
  <c r="J299" i="36" s="1"/>
  <c r="C300" i="36" s="1"/>
  <c r="A305" i="36"/>
  <c r="B304" i="36"/>
  <c r="D304" i="36"/>
  <c r="G302" i="36" l="1"/>
  <c r="E304" i="36"/>
  <c r="I300" i="36"/>
  <c r="H300" i="36" s="1"/>
  <c r="J300" i="36" s="1"/>
  <c r="C301" i="36" s="1"/>
  <c r="A306" i="36"/>
  <c r="B305" i="36"/>
  <c r="D305" i="36"/>
  <c r="G303" i="36" l="1"/>
  <c r="E305" i="36"/>
  <c r="I301" i="36"/>
  <c r="H301" i="36" s="1"/>
  <c r="J301" i="36" s="1"/>
  <c r="C302" i="36" s="1"/>
  <c r="A307" i="36"/>
  <c r="B306" i="36"/>
  <c r="D306" i="36"/>
  <c r="G304" i="36" l="1"/>
  <c r="E306" i="36"/>
  <c r="I302" i="36"/>
  <c r="H302" i="36" s="1"/>
  <c r="J302" i="36" s="1"/>
  <c r="C303" i="36" s="1"/>
  <c r="A308" i="36"/>
  <c r="B307" i="36"/>
  <c r="D307" i="36"/>
  <c r="G305" i="36" l="1"/>
  <c r="E307" i="36"/>
  <c r="I303" i="36"/>
  <c r="H303" i="36" s="1"/>
  <c r="J303" i="36" s="1"/>
  <c r="C304" i="36" s="1"/>
  <c r="A309" i="36"/>
  <c r="D308" i="36"/>
  <c r="B308" i="36"/>
  <c r="G306" i="36" l="1"/>
  <c r="E308" i="36"/>
  <c r="I304" i="36"/>
  <c r="H304" i="36" s="1"/>
  <c r="J304" i="36" s="1"/>
  <c r="C305" i="36" s="1"/>
  <c r="A310" i="36"/>
  <c r="B309" i="36"/>
  <c r="D309" i="36"/>
  <c r="G307" i="36" l="1"/>
  <c r="E309" i="36"/>
  <c r="I305" i="36"/>
  <c r="H305" i="36" s="1"/>
  <c r="J305" i="36" s="1"/>
  <c r="C306" i="36" s="1"/>
  <c r="A311" i="36"/>
  <c r="D310" i="36"/>
  <c r="B310" i="36"/>
  <c r="G308" i="36" l="1"/>
  <c r="E310" i="36"/>
  <c r="I306" i="36"/>
  <c r="H306" i="36" s="1"/>
  <c r="J306" i="36" s="1"/>
  <c r="C307" i="36" s="1"/>
  <c r="A312" i="36"/>
  <c r="D311" i="36"/>
  <c r="B311" i="36"/>
  <c r="G309" i="36" l="1"/>
  <c r="E311" i="36"/>
  <c r="I307" i="36"/>
  <c r="H307" i="36" s="1"/>
  <c r="J307" i="36" s="1"/>
  <c r="C308" i="36" s="1"/>
  <c r="A313" i="36"/>
  <c r="D312" i="36"/>
  <c r="B312" i="36"/>
  <c r="G310" i="36" l="1"/>
  <c r="E312" i="36"/>
  <c r="I308" i="36"/>
  <c r="H308" i="36" s="1"/>
  <c r="J308" i="36" s="1"/>
  <c r="C309" i="36" s="1"/>
  <c r="A314" i="36"/>
  <c r="B313" i="36"/>
  <c r="D313" i="36"/>
  <c r="G311" i="36" l="1"/>
  <c r="E313" i="36"/>
  <c r="I309" i="36"/>
  <c r="H309" i="36" s="1"/>
  <c r="J309" i="36" s="1"/>
  <c r="C310" i="36" s="1"/>
  <c r="D314" i="36"/>
  <c r="A315" i="36"/>
  <c r="B314" i="36"/>
  <c r="G312" i="36" l="1"/>
  <c r="E314" i="36"/>
  <c r="I310" i="36"/>
  <c r="H310" i="36" s="1"/>
  <c r="J310" i="36" s="1"/>
  <c r="C311" i="36" s="1"/>
  <c r="A316" i="36"/>
  <c r="B315" i="36"/>
  <c r="D315" i="36"/>
  <c r="G313" i="36" l="1"/>
  <c r="E315" i="36"/>
  <c r="I311" i="36"/>
  <c r="H311" i="36" s="1"/>
  <c r="J311" i="36" s="1"/>
  <c r="C312" i="36" s="1"/>
  <c r="A317" i="36"/>
  <c r="D316" i="36"/>
  <c r="B316" i="36"/>
  <c r="G314" i="36" l="1"/>
  <c r="E316" i="36"/>
  <c r="I312" i="36"/>
  <c r="H312" i="36" s="1"/>
  <c r="J312" i="36" s="1"/>
  <c r="C313" i="36" s="1"/>
  <c r="D317" i="36"/>
  <c r="B317" i="36"/>
  <c r="A318" i="36"/>
  <c r="G315" i="36" l="1"/>
  <c r="E317" i="36"/>
  <c r="I313" i="36"/>
  <c r="H313" i="36" s="1"/>
  <c r="J313" i="36" s="1"/>
  <c r="C314" i="36" s="1"/>
  <c r="A319" i="36"/>
  <c r="D318" i="36"/>
  <c r="B318" i="36"/>
  <c r="G316" i="36" l="1"/>
  <c r="E318" i="36"/>
  <c r="I314" i="36"/>
  <c r="H314" i="36" s="1"/>
  <c r="J314" i="36" s="1"/>
  <c r="C315" i="36" s="1"/>
  <c r="A320" i="36"/>
  <c r="D319" i="36"/>
  <c r="B319" i="36"/>
  <c r="G317" i="36" l="1"/>
  <c r="E319" i="36"/>
  <c r="I315" i="36"/>
  <c r="H315" i="36" s="1"/>
  <c r="J315" i="36" s="1"/>
  <c r="C316" i="36" s="1"/>
  <c r="A321" i="36"/>
  <c r="D320" i="36"/>
  <c r="B320" i="36"/>
  <c r="G318" i="36" l="1"/>
  <c r="E320" i="36"/>
  <c r="I316" i="36"/>
  <c r="H316" i="36" s="1"/>
  <c r="J316" i="36" s="1"/>
  <c r="C317" i="36" s="1"/>
  <c r="A322" i="36"/>
  <c r="D321" i="36"/>
  <c r="B321" i="36"/>
  <c r="G319" i="36" l="1"/>
  <c r="E321" i="36"/>
  <c r="I317" i="36"/>
  <c r="H317" i="36" s="1"/>
  <c r="J317" i="36" s="1"/>
  <c r="C318" i="36" s="1"/>
  <c r="A323" i="36"/>
  <c r="D322" i="36"/>
  <c r="B322" i="36"/>
  <c r="G320" i="36" l="1"/>
  <c r="E322" i="36"/>
  <c r="I318" i="36"/>
  <c r="H318" i="36" s="1"/>
  <c r="J318" i="36" s="1"/>
  <c r="C319" i="36" s="1"/>
  <c r="A324" i="36"/>
  <c r="B323" i="36"/>
  <c r="D323" i="36"/>
  <c r="G321" i="36" l="1"/>
  <c r="E323" i="36"/>
  <c r="I319" i="36"/>
  <c r="H319" i="36" s="1"/>
  <c r="J319" i="36" s="1"/>
  <c r="C320" i="36" s="1"/>
  <c r="A325" i="36"/>
  <c r="D324" i="36"/>
  <c r="B324" i="36"/>
  <c r="G322" i="36" l="1"/>
  <c r="E324" i="36"/>
  <c r="I320" i="36"/>
  <c r="H320" i="36" s="1"/>
  <c r="J320" i="36" s="1"/>
  <c r="C321" i="36" s="1"/>
  <c r="A326" i="36"/>
  <c r="D325" i="36"/>
  <c r="B325" i="36"/>
  <c r="G323" i="36" l="1"/>
  <c r="E325" i="36"/>
  <c r="I321" i="36"/>
  <c r="H321" i="36" s="1"/>
  <c r="J321" i="36" s="1"/>
  <c r="C322" i="36" s="1"/>
  <c r="A327" i="36"/>
  <c r="B326" i="36"/>
  <c r="D326" i="36"/>
  <c r="G324" i="36" l="1"/>
  <c r="E326" i="36"/>
  <c r="I322" i="36"/>
  <c r="H322" i="36" s="1"/>
  <c r="J322" i="36" s="1"/>
  <c r="C323" i="36" s="1"/>
  <c r="A328" i="36"/>
  <c r="B327" i="36"/>
  <c r="D327" i="36"/>
  <c r="G325" i="36" l="1"/>
  <c r="E327" i="36"/>
  <c r="I323" i="36"/>
  <c r="H323" i="36" s="1"/>
  <c r="J323" i="36" s="1"/>
  <c r="C324" i="36" s="1"/>
  <c r="A329" i="36"/>
  <c r="B328" i="36"/>
  <c r="D328" i="36"/>
  <c r="G326" i="36" l="1"/>
  <c r="E328" i="36"/>
  <c r="I324" i="36"/>
  <c r="H324" i="36" s="1"/>
  <c r="J324" i="36" s="1"/>
  <c r="C325" i="36" s="1"/>
  <c r="A330" i="36"/>
  <c r="D329" i="36"/>
  <c r="B329" i="36"/>
  <c r="G327" i="36" l="1"/>
  <c r="E329" i="36"/>
  <c r="I325" i="36"/>
  <c r="H325" i="36" s="1"/>
  <c r="J325" i="36" s="1"/>
  <c r="C326" i="36" s="1"/>
  <c r="A331" i="36"/>
  <c r="B330" i="36"/>
  <c r="D330" i="36"/>
  <c r="G328" i="36" l="1"/>
  <c r="E330" i="36"/>
  <c r="I326" i="36"/>
  <c r="H326" i="36" s="1"/>
  <c r="J326" i="36" s="1"/>
  <c r="C327" i="36" s="1"/>
  <c r="A332" i="36"/>
  <c r="B331" i="36"/>
  <c r="D331" i="36"/>
  <c r="G329" i="36" l="1"/>
  <c r="E331" i="36"/>
  <c r="I327" i="36"/>
  <c r="H327" i="36" s="1"/>
  <c r="J327" i="36" s="1"/>
  <c r="C328" i="36" s="1"/>
  <c r="A333" i="36"/>
  <c r="B332" i="36"/>
  <c r="D332" i="36"/>
  <c r="G330" i="36" l="1"/>
  <c r="E332" i="36"/>
  <c r="G331" i="36" s="1"/>
  <c r="I328" i="36"/>
  <c r="H328" i="36" s="1"/>
  <c r="J328" i="36" s="1"/>
  <c r="C329" i="36" s="1"/>
  <c r="A334" i="36"/>
  <c r="D333" i="36"/>
  <c r="B333" i="36"/>
  <c r="E333" i="36" l="1"/>
  <c r="I329" i="36"/>
  <c r="H329" i="36" s="1"/>
  <c r="J329" i="36" s="1"/>
  <c r="C330" i="36" s="1"/>
  <c r="A335" i="36"/>
  <c r="D334" i="36"/>
  <c r="B334" i="36"/>
  <c r="G332" i="36" l="1"/>
  <c r="E334" i="36"/>
  <c r="I330" i="36"/>
  <c r="H330" i="36" s="1"/>
  <c r="J330" i="36" s="1"/>
  <c r="C331" i="36" s="1"/>
  <c r="A336" i="36"/>
  <c r="B335" i="36"/>
  <c r="D335" i="36"/>
  <c r="G333" i="36" l="1"/>
  <c r="E335" i="36"/>
  <c r="I331" i="36"/>
  <c r="H331" i="36" s="1"/>
  <c r="J331" i="36" s="1"/>
  <c r="C332" i="36" s="1"/>
  <c r="A337" i="36"/>
  <c r="D336" i="36"/>
  <c r="B336" i="36"/>
  <c r="G334" i="36" l="1"/>
  <c r="E336" i="36"/>
  <c r="I332" i="36"/>
  <c r="H332" i="36" s="1"/>
  <c r="J332" i="36" s="1"/>
  <c r="C333" i="36" s="1"/>
  <c r="A338" i="36"/>
  <c r="D337" i="36"/>
  <c r="B337" i="36"/>
  <c r="G335" i="36" l="1"/>
  <c r="E337" i="36"/>
  <c r="I333" i="36"/>
  <c r="H333" i="36" s="1"/>
  <c r="J333" i="36" s="1"/>
  <c r="C334" i="36" s="1"/>
  <c r="D338" i="36"/>
  <c r="A339" i="36"/>
  <c r="B338" i="36"/>
  <c r="G336" i="36" l="1"/>
  <c r="E338" i="36"/>
  <c r="I334" i="36"/>
  <c r="H334" i="36" s="1"/>
  <c r="J334" i="36" s="1"/>
  <c r="C335" i="36" s="1"/>
  <c r="A340" i="36"/>
  <c r="B339" i="36"/>
  <c r="D339" i="36"/>
  <c r="G337" i="36" l="1"/>
  <c r="E339" i="36"/>
  <c r="I335" i="36"/>
  <c r="H335" i="36" s="1"/>
  <c r="J335" i="36" s="1"/>
  <c r="C336" i="36" s="1"/>
  <c r="A341" i="36"/>
  <c r="D340" i="36"/>
  <c r="B340" i="36"/>
  <c r="G338" i="36" l="1"/>
  <c r="E340" i="36"/>
  <c r="D341" i="36"/>
  <c r="B341" i="36"/>
  <c r="A342" i="36"/>
  <c r="I336" i="36"/>
  <c r="H336" i="36" s="1"/>
  <c r="J336" i="36" s="1"/>
  <c r="C337" i="36" s="1"/>
  <c r="G339" i="36" l="1"/>
  <c r="E341" i="36"/>
  <c r="I337" i="36"/>
  <c r="H337" i="36" s="1"/>
  <c r="J337" i="36" s="1"/>
  <c r="C338" i="36" s="1"/>
  <c r="A343" i="36"/>
  <c r="D342" i="36"/>
  <c r="B342" i="36"/>
  <c r="G340" i="36" l="1"/>
  <c r="E342" i="36"/>
  <c r="I338" i="36"/>
  <c r="H338" i="36" s="1"/>
  <c r="J338" i="36" s="1"/>
  <c r="C339" i="36" s="1"/>
  <c r="A344" i="36"/>
  <c r="D343" i="36"/>
  <c r="B343" i="36"/>
  <c r="G341" i="36" l="1"/>
  <c r="E343" i="36"/>
  <c r="I339" i="36"/>
  <c r="H339" i="36" s="1"/>
  <c r="J339" i="36" s="1"/>
  <c r="C340" i="36" s="1"/>
  <c r="A345" i="36"/>
  <c r="B344" i="36"/>
  <c r="D344" i="36"/>
  <c r="G342" i="36" l="1"/>
  <c r="E344" i="36"/>
  <c r="I340" i="36"/>
  <c r="H340" i="36" s="1"/>
  <c r="J340" i="36" s="1"/>
  <c r="C341" i="36" s="1"/>
  <c r="A346" i="36"/>
  <c r="B345" i="36"/>
  <c r="D345" i="36"/>
  <c r="G343" i="36" l="1"/>
  <c r="E345" i="36"/>
  <c r="I341" i="36"/>
  <c r="H341" i="36" s="1"/>
  <c r="J341" i="36" s="1"/>
  <c r="C342" i="36" s="1"/>
  <c r="A347" i="36"/>
  <c r="B346" i="36"/>
  <c r="D346" i="36"/>
  <c r="G344" i="36" l="1"/>
  <c r="E346" i="36"/>
  <c r="I342" i="36"/>
  <c r="H342" i="36" s="1"/>
  <c r="J342" i="36" s="1"/>
  <c r="C343" i="36" s="1"/>
  <c r="A348" i="36"/>
  <c r="B347" i="36"/>
  <c r="D347" i="36"/>
  <c r="G345" i="36" l="1"/>
  <c r="E347" i="36"/>
  <c r="I343" i="36"/>
  <c r="H343" i="36" s="1"/>
  <c r="J343" i="36" s="1"/>
  <c r="C344" i="36" s="1"/>
  <c r="A349" i="36"/>
  <c r="B348" i="36"/>
  <c r="D348" i="36"/>
  <c r="G346" i="36" l="1"/>
  <c r="E348" i="36"/>
  <c r="I344" i="36"/>
  <c r="H344" i="36" s="1"/>
  <c r="J344" i="36" s="1"/>
  <c r="C345" i="36" s="1"/>
  <c r="B349" i="36"/>
  <c r="A350" i="36"/>
  <c r="D349" i="36"/>
  <c r="G347" i="36" l="1"/>
  <c r="E349" i="36"/>
  <c r="I345" i="36"/>
  <c r="H345" i="36" s="1"/>
  <c r="J345" i="36" s="1"/>
  <c r="C346" i="36" s="1"/>
  <c r="A351" i="36"/>
  <c r="B350" i="36"/>
  <c r="D350" i="36"/>
  <c r="G348" i="36" l="1"/>
  <c r="E350" i="36"/>
  <c r="I346" i="36"/>
  <c r="H346" i="36" s="1"/>
  <c r="J346" i="36" s="1"/>
  <c r="C347" i="36" s="1"/>
  <c r="A352" i="36"/>
  <c r="B351" i="36"/>
  <c r="D351" i="36"/>
  <c r="G349" i="36" l="1"/>
  <c r="E351" i="36"/>
  <c r="I347" i="36"/>
  <c r="H347" i="36" s="1"/>
  <c r="J347" i="36" s="1"/>
  <c r="C348" i="36" s="1"/>
  <c r="A353" i="36"/>
  <c r="B352" i="36"/>
  <c r="D352" i="36"/>
  <c r="G350" i="36" l="1"/>
  <c r="E352" i="36"/>
  <c r="I348" i="36"/>
  <c r="H348" i="36" s="1"/>
  <c r="J348" i="36" s="1"/>
  <c r="C349" i="36" s="1"/>
  <c r="A354" i="36"/>
  <c r="D353" i="36"/>
  <c r="B353" i="36"/>
  <c r="G351" i="36" l="1"/>
  <c r="E353" i="36"/>
  <c r="I349" i="36"/>
  <c r="H349" i="36" s="1"/>
  <c r="J349" i="36" s="1"/>
  <c r="C350" i="36" s="1"/>
  <c r="D354" i="36"/>
  <c r="A355" i="36"/>
  <c r="B354" i="36"/>
  <c r="G352" i="36" l="1"/>
  <c r="E354" i="36"/>
  <c r="I350" i="36"/>
  <c r="H350" i="36" s="1"/>
  <c r="J350" i="36" s="1"/>
  <c r="C351" i="36" s="1"/>
  <c r="A356" i="36"/>
  <c r="B355" i="36"/>
  <c r="D355" i="36"/>
  <c r="G353" i="36" l="1"/>
  <c r="E355" i="36"/>
  <c r="I351" i="36"/>
  <c r="H351" i="36" s="1"/>
  <c r="J351" i="36" s="1"/>
  <c r="C352" i="36" s="1"/>
  <c r="A357" i="36"/>
  <c r="B356" i="36"/>
  <c r="D356" i="36"/>
  <c r="G354" i="36" l="1"/>
  <c r="E356" i="36"/>
  <c r="I352" i="36"/>
  <c r="H352" i="36" s="1"/>
  <c r="J352" i="36" s="1"/>
  <c r="C353" i="36" s="1"/>
  <c r="B357" i="36"/>
  <c r="A358" i="36"/>
  <c r="D357" i="36"/>
  <c r="G355" i="36" l="1"/>
  <c r="E357" i="36"/>
  <c r="I353" i="36"/>
  <c r="H353" i="36" s="1"/>
  <c r="J353" i="36" s="1"/>
  <c r="C354" i="36" s="1"/>
  <c r="A359" i="36"/>
  <c r="D358" i="36"/>
  <c r="B358" i="36"/>
  <c r="G356" i="36" l="1"/>
  <c r="E358" i="36"/>
  <c r="I354" i="36"/>
  <c r="H354" i="36" s="1"/>
  <c r="J354" i="36" s="1"/>
  <c r="C355" i="36" s="1"/>
  <c r="A360" i="36"/>
  <c r="B359" i="36"/>
  <c r="D359" i="36"/>
  <c r="G357" i="36" l="1"/>
  <c r="E359" i="36"/>
  <c r="I355" i="36"/>
  <c r="H355" i="36" s="1"/>
  <c r="J355" i="36" s="1"/>
  <c r="C356" i="36" s="1"/>
  <c r="A361" i="36"/>
  <c r="D360" i="36"/>
  <c r="B360" i="36"/>
  <c r="G358" i="36" l="1"/>
  <c r="E360" i="36"/>
  <c r="I356" i="36"/>
  <c r="H356" i="36" s="1"/>
  <c r="J356" i="36" s="1"/>
  <c r="C357" i="36" s="1"/>
  <c r="A362" i="36"/>
  <c r="B361" i="36"/>
  <c r="D361" i="36"/>
  <c r="G359" i="36" l="1"/>
  <c r="E361" i="36"/>
  <c r="I357" i="36"/>
  <c r="H357" i="36" s="1"/>
  <c r="J357" i="36" s="1"/>
  <c r="C358" i="36" s="1"/>
  <c r="A363" i="36"/>
  <c r="D362" i="36"/>
  <c r="B362" i="36"/>
  <c r="G360" i="36" l="1"/>
  <c r="E362" i="36"/>
  <c r="I358" i="36"/>
  <c r="H358" i="36" s="1"/>
  <c r="J358" i="36" s="1"/>
  <c r="C359" i="36" s="1"/>
  <c r="A364" i="36"/>
  <c r="D363" i="36"/>
  <c r="B363" i="36"/>
  <c r="G361" i="36" l="1"/>
  <c r="E363" i="36"/>
  <c r="I359" i="36"/>
  <c r="H359" i="36" s="1"/>
  <c r="J359" i="36" s="1"/>
  <c r="C360" i="36" s="1"/>
  <c r="A365" i="36"/>
  <c r="B364" i="36"/>
  <c r="D364" i="36"/>
  <c r="G362" i="36" l="1"/>
  <c r="E364" i="36"/>
  <c r="I360" i="36"/>
  <c r="H360" i="36" s="1"/>
  <c r="J360" i="36" s="1"/>
  <c r="C361" i="36" s="1"/>
  <c r="A366" i="36"/>
  <c r="B365" i="36"/>
  <c r="D365" i="36"/>
  <c r="G363" i="36" l="1"/>
  <c r="E365" i="36"/>
  <c r="I361" i="36"/>
  <c r="H361" i="36" s="1"/>
  <c r="J361" i="36" s="1"/>
  <c r="C362" i="36" s="1"/>
  <c r="A367" i="36"/>
  <c r="B366" i="36"/>
  <c r="D366" i="36"/>
  <c r="G364" i="36" l="1"/>
  <c r="E366" i="36"/>
  <c r="I362" i="36"/>
  <c r="H362" i="36" s="1"/>
  <c r="J362" i="36" s="1"/>
  <c r="C363" i="36" s="1"/>
  <c r="A368" i="36"/>
  <c r="B367" i="36"/>
  <c r="D367" i="36"/>
  <c r="G365" i="36" l="1"/>
  <c r="E367" i="36"/>
  <c r="I363" i="36"/>
  <c r="H363" i="36" s="1"/>
  <c r="J363" i="36" s="1"/>
  <c r="C364" i="36" s="1"/>
  <c r="A369" i="36"/>
  <c r="B368" i="36"/>
  <c r="D368" i="36"/>
  <c r="G366" i="36" l="1"/>
  <c r="E368" i="36"/>
  <c r="I364" i="36"/>
  <c r="H364" i="36" s="1"/>
  <c r="J364" i="36" s="1"/>
  <c r="C365" i="36" s="1"/>
  <c r="A370" i="36"/>
  <c r="B369" i="36"/>
  <c r="D369" i="36"/>
  <c r="G367" i="36" l="1"/>
  <c r="E369" i="36"/>
  <c r="I365" i="36"/>
  <c r="H365" i="36" s="1"/>
  <c r="J365" i="36" s="1"/>
  <c r="C366" i="36" s="1"/>
  <c r="A371" i="36"/>
  <c r="D370" i="36"/>
  <c r="B370" i="36"/>
  <c r="G368" i="36" l="1"/>
  <c r="E370" i="36"/>
  <c r="I366" i="36"/>
  <c r="H366" i="36" s="1"/>
  <c r="J366" i="36" s="1"/>
  <c r="C367" i="36" s="1"/>
  <c r="A372" i="36"/>
  <c r="B371" i="36"/>
  <c r="D371" i="36"/>
  <c r="G369" i="36" l="1"/>
  <c r="E371" i="36"/>
  <c r="I367" i="36"/>
  <c r="H367" i="36" s="1"/>
  <c r="J367" i="36" s="1"/>
  <c r="C368" i="36" s="1"/>
  <c r="A373" i="36"/>
  <c r="D372" i="36"/>
  <c r="B372" i="36"/>
  <c r="G370" i="36" l="1"/>
  <c r="E372" i="36"/>
  <c r="I368" i="36"/>
  <c r="H368" i="36" s="1"/>
  <c r="J368" i="36" s="1"/>
  <c r="C369" i="36" s="1"/>
  <c r="D373" i="36"/>
  <c r="A374" i="36"/>
  <c r="B373" i="36"/>
  <c r="G371" i="36" l="1"/>
  <c r="E373" i="36"/>
  <c r="I369" i="36"/>
  <c r="H369" i="36" s="1"/>
  <c r="J369" i="36" s="1"/>
  <c r="C370" i="36" s="1"/>
  <c r="A375" i="36"/>
  <c r="B374" i="36"/>
  <c r="D374" i="36"/>
  <c r="G372" i="36" l="1"/>
  <c r="E374" i="36"/>
  <c r="I370" i="36"/>
  <c r="H370" i="36" s="1"/>
  <c r="J370" i="36" s="1"/>
  <c r="C371" i="36" s="1"/>
  <c r="A376" i="36"/>
  <c r="D375" i="36"/>
  <c r="B375" i="36"/>
  <c r="G373" i="36" l="1"/>
  <c r="E375" i="36"/>
  <c r="I371" i="36"/>
  <c r="H371" i="36" s="1"/>
  <c r="J371" i="36" s="1"/>
  <c r="C372" i="36" s="1"/>
  <c r="A377" i="36"/>
  <c r="B376" i="36"/>
  <c r="D376" i="36"/>
  <c r="G374" i="36" l="1"/>
  <c r="E377" i="36"/>
  <c r="E376" i="36"/>
  <c r="G376" i="36" s="1"/>
  <c r="I372" i="36"/>
  <c r="H372" i="36" s="1"/>
  <c r="J372" i="36" s="1"/>
  <c r="C373" i="36" s="1"/>
  <c r="B377" i="36"/>
  <c r="D377" i="36"/>
  <c r="G377" i="36" l="1"/>
  <c r="G375" i="36"/>
  <c r="I373" i="36"/>
  <c r="H373" i="36" s="1"/>
  <c r="J373" i="36" s="1"/>
  <c r="C374" i="36" s="1"/>
  <c r="I374" i="36" l="1"/>
  <c r="H374" i="36" s="1"/>
  <c r="J374" i="36" s="1"/>
  <c r="C375" i="36" s="1"/>
  <c r="I375" i="36" l="1"/>
  <c r="H375" i="36" s="1"/>
  <c r="J375" i="36" s="1"/>
  <c r="C376" i="36" s="1"/>
  <c r="I376" i="36" l="1"/>
  <c r="H376" i="36" s="1"/>
  <c r="J376" i="36" s="1"/>
  <c r="C377" i="36" s="1"/>
  <c r="D14" i="36" s="1"/>
  <c r="D15" i="36" l="1"/>
  <c r="I377" i="36"/>
  <c r="H377" i="36" s="1"/>
  <c r="J377" i="36" s="1"/>
  <c r="D13" i="36" s="1"/>
  <c r="K19" i="36" s="1"/>
  <c r="K20" i="36" s="1"/>
  <c r="K21" i="36" s="1"/>
  <c r="K22" i="36" s="1"/>
  <c r="K23" i="36" s="1"/>
  <c r="K24" i="36" s="1"/>
  <c r="K25" i="36" s="1"/>
  <c r="K26" i="36" s="1"/>
  <c r="K27" i="36" s="1"/>
  <c r="K28" i="36" s="1"/>
  <c r="K29" i="36" s="1"/>
  <c r="K30" i="36" s="1"/>
  <c r="K31" i="36" s="1"/>
  <c r="K32" i="36" s="1"/>
  <c r="K33" i="36" s="1"/>
  <c r="K34" i="36" s="1"/>
  <c r="K35" i="36" s="1"/>
  <c r="K36" i="36" s="1"/>
  <c r="K37" i="36" s="1"/>
  <c r="K38" i="36" s="1"/>
  <c r="K39" i="36" s="1"/>
  <c r="K40" i="36" s="1"/>
  <c r="K41" i="36" s="1"/>
  <c r="K42" i="36" s="1"/>
  <c r="K43" i="36" s="1"/>
  <c r="K44" i="36" s="1"/>
  <c r="K45" i="36" s="1"/>
  <c r="K46" i="36" s="1"/>
  <c r="K47" i="36" s="1"/>
  <c r="K48" i="36" s="1"/>
  <c r="K49" i="36" s="1"/>
  <c r="K50" i="36" s="1"/>
  <c r="K51" i="36" s="1"/>
  <c r="K52" i="36" s="1"/>
  <c r="K53" i="36" s="1"/>
  <c r="K54" i="36" s="1"/>
  <c r="K55" i="36" s="1"/>
  <c r="K56" i="36" s="1"/>
  <c r="K57" i="36" s="1"/>
  <c r="K58" i="36" s="1"/>
  <c r="K59" i="36" s="1"/>
  <c r="K60" i="36" s="1"/>
  <c r="K61" i="36" s="1"/>
  <c r="K62" i="36" s="1"/>
  <c r="K63" i="36" s="1"/>
  <c r="K64" i="36" s="1"/>
  <c r="K65" i="36" s="1"/>
  <c r="K66" i="36" s="1"/>
  <c r="K67" i="36" s="1"/>
  <c r="K68" i="36" s="1"/>
  <c r="K69" i="36" s="1"/>
  <c r="K70" i="36" s="1"/>
  <c r="K71" i="36" s="1"/>
  <c r="K72" i="36" s="1"/>
  <c r="K73" i="36" s="1"/>
  <c r="K74" i="36" s="1"/>
  <c r="K75" i="36" s="1"/>
  <c r="K76" i="36" s="1"/>
  <c r="K77" i="36" s="1"/>
  <c r="K78" i="36" s="1"/>
  <c r="K79" i="36" s="1"/>
  <c r="K80" i="36" s="1"/>
  <c r="K81" i="36" s="1"/>
  <c r="K82" i="36" s="1"/>
  <c r="K83" i="36" s="1"/>
  <c r="K84" i="36" s="1"/>
  <c r="K85" i="36" s="1"/>
  <c r="K86" i="36" s="1"/>
  <c r="K87" i="36" s="1"/>
  <c r="K88" i="36" s="1"/>
  <c r="K89" i="36" s="1"/>
  <c r="K90" i="36" s="1"/>
  <c r="K91" i="36" s="1"/>
  <c r="K92" i="36" s="1"/>
  <c r="K93" i="36" s="1"/>
  <c r="K94" i="36" s="1"/>
  <c r="K95" i="36" s="1"/>
  <c r="K96" i="36" s="1"/>
  <c r="K97" i="36" s="1"/>
  <c r="K98" i="36" s="1"/>
  <c r="K99" i="36" s="1"/>
  <c r="K100" i="36" s="1"/>
  <c r="K101" i="36" s="1"/>
  <c r="K102" i="36" s="1"/>
  <c r="K103" i="36" s="1"/>
  <c r="K104" i="36" s="1"/>
  <c r="K105" i="36" s="1"/>
  <c r="K106" i="36" s="1"/>
  <c r="K107" i="36" s="1"/>
  <c r="K108" i="36" s="1"/>
  <c r="K109" i="36" s="1"/>
  <c r="K110" i="36" s="1"/>
  <c r="K111" i="36" s="1"/>
  <c r="K112" i="36" s="1"/>
  <c r="K113" i="36" s="1"/>
  <c r="K114" i="36" s="1"/>
  <c r="K115" i="36" s="1"/>
  <c r="K116" i="36" s="1"/>
  <c r="K117" i="36" s="1"/>
  <c r="K118" i="36" s="1"/>
  <c r="K119" i="36" s="1"/>
  <c r="K120" i="36" s="1"/>
  <c r="K121" i="36" s="1"/>
  <c r="K122" i="36" s="1"/>
  <c r="K123" i="36" s="1"/>
  <c r="K124" i="36" s="1"/>
  <c r="K125" i="36" s="1"/>
  <c r="K126" i="36" s="1"/>
  <c r="K127" i="36" s="1"/>
  <c r="K128" i="36" s="1"/>
  <c r="K129" i="36" s="1"/>
  <c r="K130" i="36" s="1"/>
  <c r="K131" i="36" s="1"/>
  <c r="K132" i="36" s="1"/>
  <c r="K133" i="36" s="1"/>
  <c r="K134" i="36" s="1"/>
  <c r="K135" i="36" s="1"/>
  <c r="K136" i="36" s="1"/>
  <c r="K137" i="36" s="1"/>
  <c r="K138" i="36" s="1"/>
  <c r="K139" i="36" s="1"/>
  <c r="K140" i="36" s="1"/>
  <c r="K141" i="36" s="1"/>
  <c r="K142" i="36" s="1"/>
  <c r="K143" i="36" s="1"/>
  <c r="K144" i="36" s="1"/>
  <c r="K145" i="36" s="1"/>
  <c r="K146" i="36" s="1"/>
  <c r="K147" i="36" s="1"/>
  <c r="K148" i="36" s="1"/>
  <c r="K149" i="36" s="1"/>
  <c r="K150" i="36" s="1"/>
  <c r="K151" i="36" s="1"/>
  <c r="K152" i="36" s="1"/>
  <c r="K153" i="36" s="1"/>
  <c r="K154" i="36" s="1"/>
  <c r="K155" i="36" s="1"/>
  <c r="K156" i="36" s="1"/>
  <c r="K157" i="36" s="1"/>
  <c r="K158" i="36" s="1"/>
  <c r="K159" i="36" s="1"/>
  <c r="K160" i="36" s="1"/>
  <c r="K161" i="36" s="1"/>
  <c r="K162" i="36" s="1"/>
  <c r="K163" i="36" s="1"/>
  <c r="K164" i="36" s="1"/>
  <c r="K165" i="36" s="1"/>
  <c r="K166" i="36" s="1"/>
  <c r="K167" i="36" s="1"/>
  <c r="K168" i="36" s="1"/>
  <c r="K169" i="36" s="1"/>
  <c r="K170" i="36" s="1"/>
  <c r="K171" i="36" s="1"/>
  <c r="K172" i="36" s="1"/>
  <c r="K173" i="36" s="1"/>
  <c r="K174" i="36" s="1"/>
  <c r="K175" i="36" s="1"/>
  <c r="K176" i="36" s="1"/>
  <c r="K177" i="36" s="1"/>
  <c r="K178" i="36" s="1"/>
  <c r="K179" i="36" s="1"/>
  <c r="K180" i="36" s="1"/>
  <c r="K181" i="36" s="1"/>
  <c r="K182" i="36" s="1"/>
  <c r="K183" i="36" s="1"/>
  <c r="K184" i="36" s="1"/>
  <c r="K185" i="36" s="1"/>
  <c r="K186" i="36" s="1"/>
  <c r="K187" i="36" s="1"/>
  <c r="K188" i="36" s="1"/>
  <c r="K189" i="36" s="1"/>
  <c r="K190" i="36" s="1"/>
  <c r="K191" i="36" s="1"/>
  <c r="K192" i="36" s="1"/>
  <c r="K193" i="36" s="1"/>
  <c r="K194" i="36" s="1"/>
  <c r="K195" i="36" s="1"/>
  <c r="K196" i="36" s="1"/>
  <c r="K197" i="36" s="1"/>
  <c r="K198" i="36" s="1"/>
  <c r="K199" i="36" s="1"/>
  <c r="K200" i="36" s="1"/>
  <c r="K201" i="36" s="1"/>
  <c r="K202" i="36" s="1"/>
  <c r="K203" i="36" s="1"/>
  <c r="K204" i="36" s="1"/>
  <c r="K205" i="36" s="1"/>
  <c r="K206" i="36" s="1"/>
  <c r="K207" i="36" s="1"/>
  <c r="K208" i="36" s="1"/>
  <c r="K209" i="36" s="1"/>
  <c r="K210" i="36" s="1"/>
  <c r="K211" i="36" s="1"/>
  <c r="K212" i="36" s="1"/>
  <c r="K213" i="36" s="1"/>
  <c r="K214" i="36" s="1"/>
  <c r="K215" i="36" s="1"/>
  <c r="K216" i="36" s="1"/>
  <c r="K217" i="36" s="1"/>
  <c r="K218" i="36" s="1"/>
  <c r="K219" i="36" s="1"/>
  <c r="K220" i="36" s="1"/>
  <c r="K221" i="36" s="1"/>
  <c r="K222" i="36" s="1"/>
  <c r="K223" i="36" s="1"/>
  <c r="K224" i="36" s="1"/>
  <c r="K225" i="36" s="1"/>
  <c r="K226" i="36" s="1"/>
  <c r="K227" i="36" s="1"/>
  <c r="K228" i="36" s="1"/>
  <c r="K229" i="36" s="1"/>
  <c r="K230" i="36" s="1"/>
  <c r="K231" i="36" s="1"/>
  <c r="K232" i="36" s="1"/>
  <c r="K233" i="36" s="1"/>
  <c r="K234" i="36" s="1"/>
  <c r="K235" i="36" s="1"/>
  <c r="K236" i="36" s="1"/>
  <c r="K237" i="36" s="1"/>
  <c r="K238" i="36" s="1"/>
  <c r="K239" i="36" s="1"/>
  <c r="K240" i="36" s="1"/>
  <c r="K241" i="36" s="1"/>
  <c r="K242" i="36" s="1"/>
  <c r="K243" i="36" s="1"/>
  <c r="K244" i="36" s="1"/>
  <c r="K245" i="36" s="1"/>
  <c r="K246" i="36" s="1"/>
  <c r="K247" i="36" s="1"/>
  <c r="K248" i="36" s="1"/>
  <c r="K249" i="36" s="1"/>
  <c r="K250" i="36" s="1"/>
  <c r="K251" i="36" s="1"/>
  <c r="K252" i="36" s="1"/>
  <c r="K253" i="36" s="1"/>
  <c r="K254" i="36" s="1"/>
  <c r="K255" i="36" s="1"/>
  <c r="K256" i="36" s="1"/>
  <c r="K257" i="36" s="1"/>
  <c r="K258" i="36" s="1"/>
  <c r="K259" i="36" s="1"/>
  <c r="K260" i="36" s="1"/>
  <c r="K261" i="36" s="1"/>
  <c r="K262" i="36" s="1"/>
  <c r="K263" i="36" s="1"/>
  <c r="K264" i="36" s="1"/>
  <c r="K265" i="36" s="1"/>
  <c r="K266" i="36" s="1"/>
  <c r="K267" i="36" s="1"/>
  <c r="K268" i="36" s="1"/>
  <c r="K269" i="36" s="1"/>
  <c r="K270" i="36" s="1"/>
  <c r="K271" i="36" s="1"/>
  <c r="K272" i="36" s="1"/>
  <c r="K273" i="36" s="1"/>
  <c r="K274" i="36" s="1"/>
  <c r="K275" i="36" s="1"/>
  <c r="K276" i="36" s="1"/>
  <c r="K277" i="36" s="1"/>
  <c r="K278" i="36" s="1"/>
  <c r="K279" i="36" s="1"/>
  <c r="K280" i="36" s="1"/>
  <c r="K281" i="36" s="1"/>
  <c r="K282" i="36" s="1"/>
  <c r="K283" i="36" s="1"/>
  <c r="K284" i="36" s="1"/>
  <c r="K285" i="36" s="1"/>
  <c r="K286" i="36" s="1"/>
  <c r="K287" i="36" s="1"/>
  <c r="K288" i="36" s="1"/>
  <c r="K289" i="36" s="1"/>
  <c r="K290" i="36" s="1"/>
  <c r="K291" i="36" s="1"/>
  <c r="K292" i="36" s="1"/>
  <c r="K293" i="36" s="1"/>
  <c r="K294" i="36" s="1"/>
  <c r="K295" i="36" s="1"/>
  <c r="K296" i="36" s="1"/>
  <c r="K297" i="36" s="1"/>
  <c r="K298" i="36" s="1"/>
  <c r="K299" i="36" s="1"/>
  <c r="K300" i="36" s="1"/>
  <c r="K301" i="36" s="1"/>
  <c r="K302" i="36" s="1"/>
  <c r="K303" i="36" s="1"/>
  <c r="K304" i="36" s="1"/>
  <c r="K305" i="36" s="1"/>
  <c r="K306" i="36" s="1"/>
  <c r="K307" i="36" s="1"/>
  <c r="K308" i="36" s="1"/>
  <c r="K309" i="36" s="1"/>
  <c r="K310" i="36" s="1"/>
  <c r="K311" i="36" s="1"/>
  <c r="K312" i="36" s="1"/>
  <c r="K313" i="36" s="1"/>
  <c r="K314" i="36" s="1"/>
  <c r="K315" i="36" s="1"/>
  <c r="K316" i="36" s="1"/>
  <c r="K317" i="36" s="1"/>
  <c r="K318" i="36" s="1"/>
  <c r="K319" i="36" s="1"/>
  <c r="K320" i="36" s="1"/>
  <c r="K321" i="36" s="1"/>
  <c r="K322" i="36" s="1"/>
  <c r="K323" i="36" s="1"/>
  <c r="K324" i="36" s="1"/>
  <c r="K325" i="36" s="1"/>
  <c r="K326" i="36" s="1"/>
  <c r="K327" i="36" s="1"/>
  <c r="K328" i="36" s="1"/>
  <c r="K329" i="36" s="1"/>
  <c r="K330" i="36" s="1"/>
  <c r="K331" i="36" s="1"/>
  <c r="K332" i="36" s="1"/>
  <c r="K333" i="36" s="1"/>
  <c r="K334" i="36" s="1"/>
  <c r="K335" i="36" s="1"/>
  <c r="K336" i="36" s="1"/>
  <c r="K337" i="36" s="1"/>
  <c r="K338" i="36" s="1"/>
  <c r="K339" i="36" s="1"/>
  <c r="K340" i="36" s="1"/>
  <c r="K341" i="36" s="1"/>
  <c r="K342" i="36" s="1"/>
  <c r="K343" i="36" s="1"/>
  <c r="K344" i="36" s="1"/>
  <c r="K345" i="36" s="1"/>
  <c r="K346" i="36" s="1"/>
  <c r="K347" i="36" s="1"/>
  <c r="K348" i="36" s="1"/>
  <c r="K349" i="36" s="1"/>
  <c r="K350" i="36" s="1"/>
  <c r="K351" i="36" s="1"/>
  <c r="K352" i="36" s="1"/>
  <c r="K353" i="36" s="1"/>
  <c r="K354" i="36" s="1"/>
  <c r="K355" i="36" s="1"/>
  <c r="K356" i="36" s="1"/>
  <c r="K357" i="36" s="1"/>
  <c r="K358" i="36" s="1"/>
  <c r="K359" i="36" s="1"/>
  <c r="K360" i="36" s="1"/>
  <c r="K361" i="36" s="1"/>
  <c r="K362" i="36" s="1"/>
  <c r="K363" i="36" s="1"/>
  <c r="K364" i="36" s="1"/>
  <c r="K365" i="36" s="1"/>
  <c r="K366" i="36" s="1"/>
  <c r="K367" i="36" s="1"/>
  <c r="K368" i="36" s="1"/>
  <c r="K369" i="36" s="1"/>
  <c r="K370" i="36" s="1"/>
  <c r="K371" i="36" s="1"/>
  <c r="K372" i="36" s="1"/>
  <c r="K373" i="36" s="1"/>
  <c r="K374" i="36" s="1"/>
  <c r="K375" i="36" s="1"/>
  <c r="K376" i="36" s="1"/>
  <c r="K377" i="36" s="1"/>
  <c r="C152" i="1" l="1"/>
  <c r="C154" i="1"/>
  <c r="C155" i="1"/>
  <c r="I11" i="2"/>
  <c r="F6" i="34" s="1"/>
  <c r="E6" i="34"/>
  <c r="C11" i="34" s="1"/>
  <c r="F19" i="38"/>
  <c r="F18" i="38"/>
  <c r="G54" i="1"/>
  <c r="G74" i="1"/>
  <c r="C156" i="1"/>
  <c r="G52" i="1"/>
  <c r="A18" i="38"/>
  <c r="A19" i="38"/>
  <c r="I8" i="2"/>
  <c r="F3" i="34" s="1"/>
  <c r="E3" i="34"/>
  <c r="C157" i="1" l="1"/>
  <c r="C158" i="1"/>
  <c r="C159" i="1" l="1"/>
  <c r="H12" i="2" s="1"/>
  <c r="G53" i="1"/>
  <c r="G57" i="1" s="1"/>
  <c r="B19" i="38"/>
  <c r="C15" i="2"/>
  <c r="B18" i="38"/>
  <c r="I9" i="2"/>
  <c r="F4" i="34" s="1"/>
  <c r="E4" i="34"/>
  <c r="B12" i="34" s="1"/>
  <c r="C66" i="1" l="1"/>
  <c r="C68" i="1" s="1"/>
  <c r="B13" i="34"/>
  <c r="E7" i="34" l="1"/>
  <c r="G18" i="38"/>
  <c r="I12" i="2"/>
  <c r="K19" i="38" s="1"/>
  <c r="C75" i="1"/>
  <c r="C77" i="1" s="1"/>
  <c r="G75" i="1" s="1"/>
  <c r="G77" i="1" s="1"/>
  <c r="G19" i="38"/>
  <c r="B14" i="34"/>
  <c r="C16" i="2" l="1"/>
  <c r="F7" i="34"/>
  <c r="K18" i="38"/>
  <c r="B15" i="34"/>
  <c r="B16" i="34" l="1"/>
  <c r="B17" i="34" l="1"/>
  <c r="B18" i="34" l="1"/>
  <c r="B19" i="34" l="1"/>
  <c r="B20" i="34" l="1"/>
  <c r="B21" i="34" l="1"/>
  <c r="B22" i="34" l="1"/>
  <c r="B23" i="34" l="1"/>
  <c r="B24" i="34" l="1"/>
  <c r="B25" i="34" l="1"/>
  <c r="B26" i="34" l="1"/>
  <c r="B27" i="34" l="1"/>
  <c r="B28" i="34" l="1"/>
  <c r="B29" i="34" l="1"/>
  <c r="B30" i="34" l="1"/>
  <c r="B31" i="34" l="1"/>
  <c r="B32" i="34" l="1"/>
  <c r="B33" i="34" l="1"/>
  <c r="B34" i="34" l="1"/>
  <c r="B35" i="34" l="1"/>
  <c r="B36" i="34" l="1"/>
  <c r="B37" i="34" l="1"/>
  <c r="B38" i="34" l="1"/>
  <c r="B39" i="34" l="1"/>
  <c r="B40" i="34" l="1"/>
  <c r="B41" i="34" l="1"/>
  <c r="B42" i="34" l="1"/>
  <c r="B43" i="34" l="1"/>
  <c r="B44" i="34" l="1"/>
  <c r="B45" i="34" l="1"/>
  <c r="B46" i="34" l="1"/>
  <c r="B47" i="34" l="1"/>
  <c r="B48" i="34" l="1"/>
  <c r="B49" i="34" l="1"/>
  <c r="B50" i="34" l="1"/>
  <c r="B51" i="34" l="1"/>
  <c r="B52" i="34" l="1"/>
  <c r="B53" i="34" l="1"/>
  <c r="B54" i="34" l="1"/>
  <c r="B55" i="34" l="1"/>
  <c r="B56" i="34" l="1"/>
  <c r="B57" i="34" l="1"/>
  <c r="B58" i="34" l="1"/>
  <c r="B59" i="34" l="1"/>
  <c r="B60" i="34" l="1"/>
  <c r="B61" i="34" l="1"/>
  <c r="B62" i="34" l="1"/>
  <c r="B63" i="34" l="1"/>
  <c r="B64" i="34" l="1"/>
  <c r="B65" i="34" l="1"/>
  <c r="B66" i="34" l="1"/>
  <c r="B67" i="34" l="1"/>
  <c r="B68" i="34" l="1"/>
  <c r="B69" i="34" l="1"/>
  <c r="B70" i="34" l="1"/>
  <c r="B71" i="34" l="1"/>
  <c r="B72" i="34" l="1"/>
  <c r="B73" i="34" l="1"/>
  <c r="B74" i="34" l="1"/>
  <c r="B75" i="34" l="1"/>
  <c r="B76" i="34" l="1"/>
  <c r="B77" i="34" l="1"/>
  <c r="B78" i="34" l="1"/>
  <c r="B79" i="34" l="1"/>
  <c r="B80" i="34" l="1"/>
  <c r="B81" i="34" l="1"/>
  <c r="B82" i="34" l="1"/>
  <c r="B83" i="34" l="1"/>
  <c r="B84" i="34" l="1"/>
  <c r="B85" i="34" l="1"/>
  <c r="B86" i="34" l="1"/>
  <c r="B87" i="34" l="1"/>
  <c r="B88" i="34" l="1"/>
  <c r="B89" i="34" l="1"/>
  <c r="B90" i="34" l="1"/>
  <c r="B91" i="34" l="1"/>
  <c r="B92" i="34" l="1"/>
  <c r="B93" i="34" l="1"/>
  <c r="B94" i="34" l="1"/>
  <c r="B95" i="34" l="1"/>
  <c r="B96" i="34" l="1"/>
  <c r="B97" i="34" l="1"/>
  <c r="B98" i="34" l="1"/>
  <c r="B99" i="34" l="1"/>
  <c r="B100" i="34" l="1"/>
  <c r="B101" i="34" l="1"/>
  <c r="B102" i="34" l="1"/>
  <c r="B103" i="34" l="1"/>
  <c r="B104" i="34" l="1"/>
  <c r="B105" i="34" l="1"/>
  <c r="B106" i="34" l="1"/>
  <c r="B107" i="34" l="1"/>
  <c r="B108" i="34" l="1"/>
  <c r="B109" i="34" l="1"/>
  <c r="B110" i="34" l="1"/>
  <c r="B111" i="34" l="1"/>
  <c r="B112" i="34" l="1"/>
  <c r="B113" i="34" l="1"/>
  <c r="B114" i="34" l="1"/>
  <c r="B115" i="34" l="1"/>
  <c r="B116" i="34" l="1"/>
  <c r="B117" i="34" l="1"/>
  <c r="B118" i="34" l="1"/>
  <c r="B119" i="34" l="1"/>
  <c r="B120" i="34" l="1"/>
  <c r="B121" i="34" l="1"/>
  <c r="B122" i="34" l="1"/>
  <c r="B123" i="34" l="1"/>
  <c r="B124" i="34" l="1"/>
  <c r="B125" i="34" l="1"/>
  <c r="B126" i="34" l="1"/>
  <c r="B127" i="34" l="1"/>
  <c r="B128" i="34" l="1"/>
  <c r="B129" i="34" l="1"/>
  <c r="B130" i="34" l="1"/>
  <c r="B131" i="34" l="1"/>
  <c r="C131" i="34" l="1"/>
  <c r="B132" i="34"/>
  <c r="C132" i="34" l="1"/>
  <c r="B133" i="34"/>
  <c r="D131" i="34"/>
  <c r="E131" i="34" s="1"/>
  <c r="F131" i="34" l="1"/>
  <c r="C133" i="34"/>
  <c r="B134" i="34"/>
  <c r="D132" i="34"/>
  <c r="E132" i="34" s="1"/>
  <c r="F132" i="34" l="1"/>
  <c r="C134" i="34"/>
  <c r="B135" i="34"/>
  <c r="D133" i="34"/>
  <c r="E133" i="34" s="1"/>
  <c r="F133" i="34" l="1"/>
  <c r="C135" i="34"/>
  <c r="B136" i="34"/>
  <c r="D134" i="34"/>
  <c r="E134" i="34" s="1"/>
  <c r="F134" i="34" l="1"/>
  <c r="C136" i="34"/>
  <c r="B137" i="34"/>
  <c r="D135" i="34"/>
  <c r="E135" i="34" s="1"/>
  <c r="F135" i="34" l="1"/>
  <c r="C137" i="34"/>
  <c r="B138" i="34"/>
  <c r="D136" i="34"/>
  <c r="E136" i="34" s="1"/>
  <c r="F136" i="34" l="1"/>
  <c r="C138" i="34"/>
  <c r="B139" i="34"/>
  <c r="D137" i="34"/>
  <c r="E137" i="34" s="1"/>
  <c r="F137" i="34" l="1"/>
  <c r="C139" i="34"/>
  <c r="B140" i="34"/>
  <c r="D138" i="34"/>
  <c r="E138" i="34" s="1"/>
  <c r="C140" i="34" l="1"/>
  <c r="B141" i="34"/>
  <c r="F138" i="34"/>
  <c r="D139" i="34"/>
  <c r="E139" i="34" s="1"/>
  <c r="F139" i="34" l="1"/>
  <c r="C141" i="34"/>
  <c r="B142" i="34"/>
  <c r="D140" i="34"/>
  <c r="E140" i="34" s="1"/>
  <c r="F140" i="34" l="1"/>
  <c r="C142" i="34"/>
  <c r="B143" i="34"/>
  <c r="D141" i="34"/>
  <c r="E141" i="34" s="1"/>
  <c r="F141" i="34" l="1"/>
  <c r="D142" i="34"/>
  <c r="E142" i="34" s="1"/>
  <c r="C143" i="34"/>
  <c r="B144" i="34"/>
  <c r="C144" i="34" l="1"/>
  <c r="B145" i="34"/>
  <c r="D143" i="34"/>
  <c r="E143" i="34" s="1"/>
  <c r="F142" i="34"/>
  <c r="F143" i="34" l="1"/>
  <c r="C145" i="34"/>
  <c r="B146" i="34"/>
  <c r="D144" i="34"/>
  <c r="E144" i="34" s="1"/>
  <c r="F144" i="34" l="1"/>
  <c r="D145" i="34"/>
  <c r="E145" i="34" s="1"/>
  <c r="C146" i="34"/>
  <c r="B147" i="34"/>
  <c r="F145" i="34" l="1"/>
  <c r="C147" i="34"/>
  <c r="B148" i="34"/>
  <c r="D146" i="34"/>
  <c r="E146" i="34" s="1"/>
  <c r="F146" i="34" l="1"/>
  <c r="C148" i="34"/>
  <c r="B149" i="34"/>
  <c r="D147" i="34"/>
  <c r="E147" i="34" s="1"/>
  <c r="F147" i="34" l="1"/>
  <c r="C149" i="34"/>
  <c r="B150" i="34"/>
  <c r="D148" i="34"/>
  <c r="E148" i="34" s="1"/>
  <c r="F148" i="34" l="1"/>
  <c r="C150" i="34"/>
  <c r="B151" i="34"/>
  <c r="D149" i="34"/>
  <c r="E149" i="34" s="1"/>
  <c r="F149" i="34" l="1"/>
  <c r="C151" i="34"/>
  <c r="B152" i="34"/>
  <c r="D150" i="34"/>
  <c r="E150" i="34" s="1"/>
  <c r="F150" i="34" l="1"/>
  <c r="C152" i="34"/>
  <c r="B153" i="34"/>
  <c r="D151" i="34"/>
  <c r="E151" i="34" s="1"/>
  <c r="F151" i="34" l="1"/>
  <c r="C153" i="34"/>
  <c r="B154" i="34"/>
  <c r="D152" i="34"/>
  <c r="E152" i="34" s="1"/>
  <c r="F152" i="34" l="1"/>
  <c r="C154" i="34"/>
  <c r="B155" i="34"/>
  <c r="D153" i="34"/>
  <c r="E153" i="34" s="1"/>
  <c r="F153" i="34" l="1"/>
  <c r="C155" i="34"/>
  <c r="B156" i="34"/>
  <c r="D154" i="34"/>
  <c r="E154" i="34" s="1"/>
  <c r="F154" i="34" l="1"/>
  <c r="C156" i="34"/>
  <c r="B157" i="34"/>
  <c r="D155" i="34"/>
  <c r="E155" i="34" s="1"/>
  <c r="F155" i="34" l="1"/>
  <c r="C157" i="34"/>
  <c r="B158" i="34"/>
  <c r="D156" i="34"/>
  <c r="E156" i="34" s="1"/>
  <c r="F156" i="34" l="1"/>
  <c r="C158" i="34"/>
  <c r="B159" i="34"/>
  <c r="D157" i="34"/>
  <c r="E157" i="34" s="1"/>
  <c r="F157" i="34" l="1"/>
  <c r="C159" i="34"/>
  <c r="B160" i="34"/>
  <c r="D158" i="34"/>
  <c r="E158" i="34" s="1"/>
  <c r="F158" i="34" l="1"/>
  <c r="C160" i="34"/>
  <c r="B161" i="34"/>
  <c r="D159" i="34"/>
  <c r="E159" i="34" s="1"/>
  <c r="F159" i="34" l="1"/>
  <c r="C161" i="34"/>
  <c r="B162" i="34"/>
  <c r="D160" i="34"/>
  <c r="E160" i="34" s="1"/>
  <c r="C162" i="34" l="1"/>
  <c r="B163" i="34"/>
  <c r="F160" i="34"/>
  <c r="D161" i="34"/>
  <c r="E161" i="34" s="1"/>
  <c r="F161" i="34" l="1"/>
  <c r="C163" i="34"/>
  <c r="B164" i="34"/>
  <c r="D162" i="34"/>
  <c r="E162" i="34" s="1"/>
  <c r="F162" i="34" l="1"/>
  <c r="C164" i="34"/>
  <c r="B165" i="34"/>
  <c r="D163" i="34"/>
  <c r="E163" i="34" s="1"/>
  <c r="F163" i="34" l="1"/>
  <c r="C165" i="34"/>
  <c r="B166" i="34"/>
  <c r="D164" i="34"/>
  <c r="E164" i="34" s="1"/>
  <c r="F164" i="34" l="1"/>
  <c r="C166" i="34"/>
  <c r="B167" i="34"/>
  <c r="D165" i="34"/>
  <c r="E165" i="34" s="1"/>
  <c r="F165" i="34" l="1"/>
  <c r="C167" i="34"/>
  <c r="B168" i="34"/>
  <c r="D166" i="34"/>
  <c r="E166" i="34" s="1"/>
  <c r="F166" i="34" l="1"/>
  <c r="C168" i="34"/>
  <c r="B169" i="34"/>
  <c r="D167" i="34"/>
  <c r="E167" i="34" s="1"/>
  <c r="F167" i="34" l="1"/>
  <c r="C169" i="34"/>
  <c r="B170" i="34"/>
  <c r="D168" i="34"/>
  <c r="E168" i="34" s="1"/>
  <c r="C170" i="34" l="1"/>
  <c r="B171" i="34"/>
  <c r="F168" i="34"/>
  <c r="D169" i="34"/>
  <c r="E169" i="34" s="1"/>
  <c r="F169" i="34" l="1"/>
  <c r="C171" i="34"/>
  <c r="B172" i="34"/>
  <c r="D170" i="34"/>
  <c r="E170" i="34" s="1"/>
  <c r="F170" i="34" s="1"/>
  <c r="C172" i="34" l="1"/>
  <c r="B173" i="34"/>
  <c r="D171" i="34"/>
  <c r="E171" i="34" s="1"/>
  <c r="F171" i="34" l="1"/>
  <c r="C173" i="34"/>
  <c r="B174" i="34"/>
  <c r="D172" i="34"/>
  <c r="E172" i="34" s="1"/>
  <c r="F172" i="34" l="1"/>
  <c r="C174" i="34"/>
  <c r="B175" i="34"/>
  <c r="D173" i="34"/>
  <c r="E173" i="34" s="1"/>
  <c r="F173" i="34" l="1"/>
  <c r="C175" i="34"/>
  <c r="B176" i="34"/>
  <c r="D174" i="34"/>
  <c r="E174" i="34" s="1"/>
  <c r="F174" i="34" l="1"/>
  <c r="C176" i="34"/>
  <c r="B177" i="34"/>
  <c r="D175" i="34"/>
  <c r="E175" i="34" s="1"/>
  <c r="F175" i="34" l="1"/>
  <c r="C177" i="34"/>
  <c r="B178" i="34"/>
  <c r="D176" i="34"/>
  <c r="E176" i="34" s="1"/>
  <c r="F176" i="34" l="1"/>
  <c r="B179" i="34"/>
  <c r="C178" i="34"/>
  <c r="D177" i="34"/>
  <c r="E177" i="34" s="1"/>
  <c r="F177" i="34" l="1"/>
  <c r="D178" i="34"/>
  <c r="E178" i="34" s="1"/>
  <c r="C179" i="34"/>
  <c r="B180" i="34"/>
  <c r="D179" i="34" l="1"/>
  <c r="E179" i="34" s="1"/>
  <c r="C180" i="34"/>
  <c r="B181" i="34"/>
  <c r="F178" i="34"/>
  <c r="D180" i="34" l="1"/>
  <c r="E180" i="34" s="1"/>
  <c r="C181" i="34"/>
  <c r="B182" i="34"/>
  <c r="F179" i="34"/>
  <c r="C182" i="34" l="1"/>
  <c r="B183" i="34"/>
  <c r="D181" i="34"/>
  <c r="E181" i="34" s="1"/>
  <c r="F180" i="34"/>
  <c r="F181" i="34" l="1"/>
  <c r="C183" i="34"/>
  <c r="B184" i="34"/>
  <c r="D182" i="34"/>
  <c r="E182" i="34" s="1"/>
  <c r="F182" i="34" l="1"/>
  <c r="C184" i="34"/>
  <c r="B185" i="34"/>
  <c r="D183" i="34"/>
  <c r="E183" i="34" s="1"/>
  <c r="F183" i="34" l="1"/>
  <c r="C185" i="34"/>
  <c r="B186" i="34"/>
  <c r="D184" i="34"/>
  <c r="E184" i="34" s="1"/>
  <c r="F184" i="34" l="1"/>
  <c r="C186" i="34"/>
  <c r="B187" i="34"/>
  <c r="D185" i="34"/>
  <c r="E185" i="34" s="1"/>
  <c r="F185" i="34" l="1"/>
  <c r="C187" i="34"/>
  <c r="B188" i="34"/>
  <c r="D186" i="34"/>
  <c r="E186" i="34" s="1"/>
  <c r="F186" i="34" l="1"/>
  <c r="C188" i="34"/>
  <c r="B189" i="34"/>
  <c r="D187" i="34"/>
  <c r="E187" i="34" s="1"/>
  <c r="F187" i="34" l="1"/>
  <c r="C189" i="34"/>
  <c r="B190" i="34"/>
  <c r="D188" i="34"/>
  <c r="E188" i="34" s="1"/>
  <c r="F188" i="34" l="1"/>
  <c r="C190" i="34"/>
  <c r="B191" i="34"/>
  <c r="D189" i="34"/>
  <c r="E189" i="34" s="1"/>
  <c r="F189" i="34" l="1"/>
  <c r="C191" i="34"/>
  <c r="B192" i="34"/>
  <c r="D190" i="34"/>
  <c r="E190" i="34" s="1"/>
  <c r="F190" i="34" s="1"/>
  <c r="C192" i="34" l="1"/>
  <c r="B193" i="34"/>
  <c r="D191" i="34"/>
  <c r="E191" i="34" s="1"/>
  <c r="F191" i="34" l="1"/>
  <c r="C193" i="34"/>
  <c r="B194" i="34"/>
  <c r="D192" i="34"/>
  <c r="E192" i="34" s="1"/>
  <c r="F192" i="34" l="1"/>
  <c r="C194" i="34"/>
  <c r="B195" i="34"/>
  <c r="D193" i="34"/>
  <c r="E193" i="34" s="1"/>
  <c r="F193" i="34" l="1"/>
  <c r="C195" i="34"/>
  <c r="B196" i="34"/>
  <c r="D194" i="34"/>
  <c r="E194" i="34" s="1"/>
  <c r="C196" i="34" l="1"/>
  <c r="B197" i="34"/>
  <c r="F194" i="34"/>
  <c r="D195" i="34"/>
  <c r="E195" i="34" s="1"/>
  <c r="F195" i="34" l="1"/>
  <c r="C197" i="34"/>
  <c r="B198" i="34"/>
  <c r="D196" i="34"/>
  <c r="E196" i="34" s="1"/>
  <c r="F196" i="34" l="1"/>
  <c r="C198" i="34"/>
  <c r="B199" i="34"/>
  <c r="D197" i="34"/>
  <c r="E197" i="34" s="1"/>
  <c r="C199" i="34" l="1"/>
  <c r="B200" i="34"/>
  <c r="F197" i="34"/>
  <c r="D198" i="34"/>
  <c r="E198" i="34" s="1"/>
  <c r="F198" i="34" l="1"/>
  <c r="B201" i="34"/>
  <c r="C200" i="34"/>
  <c r="D199" i="34"/>
  <c r="E199" i="34" s="1"/>
  <c r="D200" i="34" l="1"/>
  <c r="E200" i="34" s="1"/>
  <c r="F199" i="34"/>
  <c r="C201" i="34"/>
  <c r="B202" i="34"/>
  <c r="C202" i="34" l="1"/>
  <c r="B203" i="34"/>
  <c r="D201" i="34"/>
  <c r="E201" i="34" s="1"/>
  <c r="F200" i="34"/>
  <c r="F201" i="34" l="1"/>
  <c r="C203" i="34"/>
  <c r="B204" i="34"/>
  <c r="D202" i="34"/>
  <c r="E202" i="34" s="1"/>
  <c r="C204" i="34" l="1"/>
  <c r="B205" i="34"/>
  <c r="F202" i="34"/>
  <c r="D203" i="34"/>
  <c r="E203" i="34" s="1"/>
  <c r="F203" i="34" l="1"/>
  <c r="C205" i="34"/>
  <c r="B206" i="34"/>
  <c r="D204" i="34"/>
  <c r="E204" i="34" s="1"/>
  <c r="F204" i="34" l="1"/>
  <c r="C206" i="34"/>
  <c r="B207" i="34"/>
  <c r="D205" i="34"/>
  <c r="E205" i="34" s="1"/>
  <c r="F205" i="34" l="1"/>
  <c r="C207" i="34"/>
  <c r="B208" i="34"/>
  <c r="D206" i="34"/>
  <c r="E206" i="34" s="1"/>
  <c r="C208" i="34" l="1"/>
  <c r="B209" i="34"/>
  <c r="F206" i="34"/>
  <c r="D207" i="34"/>
  <c r="E207" i="34" s="1"/>
  <c r="F207" i="34" s="1"/>
  <c r="C209" i="34" l="1"/>
  <c r="B210" i="34"/>
  <c r="D208" i="34"/>
  <c r="E208" i="34" s="1"/>
  <c r="F208" i="34" l="1"/>
  <c r="C210" i="34"/>
  <c r="B211" i="34"/>
  <c r="D209" i="34"/>
  <c r="E209" i="34" s="1"/>
  <c r="F209" i="34" l="1"/>
  <c r="C211" i="34"/>
  <c r="B212" i="34"/>
  <c r="D210" i="34"/>
  <c r="E210" i="34" s="1"/>
  <c r="F210" i="34" l="1"/>
  <c r="C212" i="34"/>
  <c r="B213" i="34"/>
  <c r="D211" i="34"/>
  <c r="E211" i="34" s="1"/>
  <c r="F211" i="34" l="1"/>
  <c r="B214" i="34"/>
  <c r="C213" i="34"/>
  <c r="D212" i="34"/>
  <c r="E212" i="34" s="1"/>
  <c r="F212" i="34" l="1"/>
  <c r="D213" i="34"/>
  <c r="E213" i="34" s="1"/>
  <c r="C214" i="34"/>
  <c r="B215" i="34"/>
  <c r="D214" i="34" l="1"/>
  <c r="E214" i="34" s="1"/>
  <c r="C215" i="34"/>
  <c r="B216" i="34"/>
  <c r="F213" i="34"/>
  <c r="D215" i="34" l="1"/>
  <c r="E215" i="34" s="1"/>
  <c r="C216" i="34"/>
  <c r="B217" i="34"/>
  <c r="F214" i="34"/>
  <c r="D216" i="34" l="1"/>
  <c r="E216" i="34" s="1"/>
  <c r="C217" i="34"/>
  <c r="B218" i="34"/>
  <c r="F215" i="34"/>
  <c r="F216" i="34" l="1"/>
  <c r="D217" i="34"/>
  <c r="E217" i="34" s="1"/>
  <c r="F217" i="34" s="1"/>
  <c r="C218" i="34"/>
  <c r="B219" i="34"/>
  <c r="D218" i="34" l="1"/>
  <c r="E218" i="34" s="1"/>
  <c r="C219" i="34"/>
  <c r="B220" i="34"/>
  <c r="F218" i="34" l="1"/>
  <c r="D219" i="34"/>
  <c r="E219" i="34" s="1"/>
  <c r="C220" i="34"/>
  <c r="B221" i="34"/>
  <c r="D220" i="34" l="1"/>
  <c r="E220" i="34" s="1"/>
  <c r="C221" i="34"/>
  <c r="B222" i="34"/>
  <c r="F219" i="34"/>
  <c r="F220" i="34" l="1"/>
  <c r="D221" i="34"/>
  <c r="E221" i="34" s="1"/>
  <c r="C222" i="34"/>
  <c r="B223" i="34"/>
  <c r="D222" i="34" l="1"/>
  <c r="E222" i="34" s="1"/>
  <c r="C223" i="34"/>
  <c r="B224" i="34"/>
  <c r="F221" i="34"/>
  <c r="D223" i="34" l="1"/>
  <c r="E223" i="34" s="1"/>
  <c r="B225" i="34"/>
  <c r="C224" i="34"/>
  <c r="F222" i="34"/>
  <c r="F223" i="34" l="1"/>
  <c r="D224" i="34"/>
  <c r="E224" i="34" s="1"/>
  <c r="C225" i="34"/>
  <c r="B226" i="34"/>
  <c r="F224" i="34" l="1"/>
  <c r="D225" i="34"/>
  <c r="E225" i="34" s="1"/>
  <c r="C226" i="34"/>
  <c r="B227" i="34"/>
  <c r="F225" i="34" l="1"/>
  <c r="D226" i="34"/>
  <c r="E226" i="34" s="1"/>
  <c r="C227" i="34"/>
  <c r="B228" i="34"/>
  <c r="D227" i="34" l="1"/>
  <c r="E227" i="34" s="1"/>
  <c r="C228" i="34"/>
  <c r="B229" i="34"/>
  <c r="F226" i="34"/>
  <c r="F227" i="34" l="1"/>
  <c r="D228" i="34"/>
  <c r="E228" i="34" s="1"/>
  <c r="C229" i="34"/>
  <c r="B230" i="34"/>
  <c r="F228" i="34" l="1"/>
  <c r="D229" i="34"/>
  <c r="E229" i="34" s="1"/>
  <c r="C230" i="34"/>
  <c r="B231" i="34"/>
  <c r="D230" i="34" l="1"/>
  <c r="E230" i="34" s="1"/>
  <c r="C231" i="34"/>
  <c r="B232" i="34"/>
  <c r="F229" i="34"/>
  <c r="F230" i="34" l="1"/>
  <c r="D231" i="34"/>
  <c r="E231" i="34" s="1"/>
  <c r="C232" i="34"/>
  <c r="B233" i="34"/>
  <c r="F231" i="34" l="1"/>
  <c r="D232" i="34"/>
  <c r="E232" i="34" s="1"/>
  <c r="C233" i="34"/>
  <c r="B234" i="34"/>
  <c r="D233" i="34" l="1"/>
  <c r="E233" i="34" s="1"/>
  <c r="F233" i="34" s="1"/>
  <c r="C234" i="34"/>
  <c r="B235" i="34"/>
  <c r="F232" i="34"/>
  <c r="D234" i="34" l="1"/>
  <c r="E234" i="34" s="1"/>
  <c r="C235" i="34"/>
  <c r="B236" i="34"/>
  <c r="F234" i="34" l="1"/>
  <c r="D235" i="34"/>
  <c r="E235" i="34" s="1"/>
  <c r="C236" i="34"/>
  <c r="B237" i="34"/>
  <c r="D236" i="34" l="1"/>
  <c r="E236" i="34" s="1"/>
  <c r="F236" i="34" s="1"/>
  <c r="C237" i="34"/>
  <c r="B238" i="34"/>
  <c r="F235" i="34"/>
  <c r="C238" i="34" l="1"/>
  <c r="B239" i="34"/>
  <c r="D237" i="34"/>
  <c r="E237" i="34" s="1"/>
  <c r="F237" i="34" l="1"/>
  <c r="C239" i="34"/>
  <c r="B240" i="34"/>
  <c r="D238" i="34"/>
  <c r="E238" i="34" s="1"/>
  <c r="F238" i="34" l="1"/>
  <c r="C240" i="34"/>
  <c r="B241" i="34"/>
  <c r="D239" i="34"/>
  <c r="E239" i="34" s="1"/>
  <c r="F239" i="34" l="1"/>
  <c r="C241" i="34"/>
  <c r="B242" i="34"/>
  <c r="D240" i="34"/>
  <c r="E240" i="34" s="1"/>
  <c r="F240" i="34" l="1"/>
  <c r="C242" i="34"/>
  <c r="B243" i="34"/>
  <c r="D241" i="34"/>
  <c r="E241" i="34" s="1"/>
  <c r="F241" i="34" s="1"/>
  <c r="C243" i="34" l="1"/>
  <c r="B244" i="34"/>
  <c r="D242" i="34"/>
  <c r="E242" i="34" s="1"/>
  <c r="F242" i="34" l="1"/>
  <c r="C244" i="34"/>
  <c r="B245" i="34"/>
  <c r="D243" i="34"/>
  <c r="E243" i="34" s="1"/>
  <c r="F243" i="34" l="1"/>
  <c r="C245" i="34"/>
  <c r="B246" i="34"/>
  <c r="D244" i="34"/>
  <c r="E244" i="34" s="1"/>
  <c r="F244" i="34" l="1"/>
  <c r="C246" i="34"/>
  <c r="B247" i="34"/>
  <c r="D245" i="34"/>
  <c r="E245" i="34" s="1"/>
  <c r="F245" i="34" l="1"/>
  <c r="C247" i="34"/>
  <c r="B248" i="34"/>
  <c r="D246" i="34"/>
  <c r="E246" i="34" s="1"/>
  <c r="F246" i="34" l="1"/>
  <c r="C248" i="34"/>
  <c r="B249" i="34"/>
  <c r="D247" i="34"/>
  <c r="E247" i="34" s="1"/>
  <c r="F247" i="34" l="1"/>
  <c r="C249" i="34"/>
  <c r="B250" i="34"/>
  <c r="D248" i="34"/>
  <c r="E248" i="34" s="1"/>
  <c r="F248" i="34" l="1"/>
  <c r="C250" i="34"/>
  <c r="B251" i="34"/>
  <c r="D249" i="34"/>
  <c r="E249" i="34" s="1"/>
  <c r="F249" i="34" l="1"/>
  <c r="B252" i="34"/>
  <c r="C251" i="34"/>
  <c r="D250" i="34"/>
  <c r="E250" i="34" s="1"/>
  <c r="D251" i="34" l="1"/>
  <c r="E251" i="34" s="1"/>
  <c r="F250" i="34"/>
  <c r="C252" i="34"/>
  <c r="B253" i="34"/>
  <c r="F251" i="34" l="1"/>
  <c r="C253" i="34"/>
  <c r="B254" i="34"/>
  <c r="D252" i="34"/>
  <c r="E252" i="34" s="1"/>
  <c r="C254" i="34" l="1"/>
  <c r="B255" i="34"/>
  <c r="F252" i="34"/>
  <c r="D253" i="34"/>
  <c r="E253" i="34" s="1"/>
  <c r="F253" i="34" s="1"/>
  <c r="C255" i="34" l="1"/>
  <c r="B256" i="34"/>
  <c r="D254" i="34"/>
  <c r="E254" i="34" s="1"/>
  <c r="F254" i="34" l="1"/>
  <c r="C256" i="34"/>
  <c r="B257" i="34"/>
  <c r="D255" i="34"/>
  <c r="E255" i="34" s="1"/>
  <c r="F255" i="34" l="1"/>
  <c r="C257" i="34"/>
  <c r="B258" i="34"/>
  <c r="D256" i="34"/>
  <c r="E256" i="34" s="1"/>
  <c r="C258" i="34" l="1"/>
  <c r="B259" i="34"/>
  <c r="F256" i="34"/>
  <c r="D257" i="34"/>
  <c r="E257" i="34" s="1"/>
  <c r="F257" i="34" l="1"/>
  <c r="C259" i="34"/>
  <c r="B260" i="34"/>
  <c r="D258" i="34"/>
  <c r="E258" i="34" s="1"/>
  <c r="F258" i="34" l="1"/>
  <c r="C260" i="34"/>
  <c r="B261" i="34"/>
  <c r="D259" i="34"/>
  <c r="E259" i="34" s="1"/>
  <c r="F259" i="34" l="1"/>
  <c r="C261" i="34"/>
  <c r="B262" i="34"/>
  <c r="D260" i="34"/>
  <c r="E260" i="34" s="1"/>
  <c r="F260" i="34" l="1"/>
  <c r="C262" i="34"/>
  <c r="B263" i="34"/>
  <c r="D261" i="34"/>
  <c r="E261" i="34" s="1"/>
  <c r="C263" i="34" l="1"/>
  <c r="B264" i="34"/>
  <c r="F261" i="34"/>
  <c r="D262" i="34"/>
  <c r="E262" i="34" s="1"/>
  <c r="F262" i="34" l="1"/>
  <c r="B265" i="34"/>
  <c r="C264" i="34"/>
  <c r="D263" i="34"/>
  <c r="E263" i="34" s="1"/>
  <c r="F263" i="34" s="1"/>
  <c r="D264" i="34" l="1"/>
  <c r="E264" i="34" s="1"/>
  <c r="F264" i="34" s="1"/>
  <c r="C265" i="34"/>
  <c r="B266" i="34"/>
  <c r="C266" i="34" l="1"/>
  <c r="B267" i="34"/>
  <c r="D265" i="34"/>
  <c r="E265" i="34" s="1"/>
  <c r="F265" i="34" l="1"/>
  <c r="C267" i="34"/>
  <c r="B268" i="34"/>
  <c r="D266" i="34"/>
  <c r="E266" i="34" s="1"/>
  <c r="C268" i="34" l="1"/>
  <c r="B269" i="34"/>
  <c r="F266" i="34"/>
  <c r="D267" i="34"/>
  <c r="E267" i="34" s="1"/>
  <c r="C269" i="34" l="1"/>
  <c r="B270" i="34"/>
  <c r="F267" i="34"/>
  <c r="D268" i="34"/>
  <c r="E268" i="34" s="1"/>
  <c r="F268" i="34" l="1"/>
  <c r="C270" i="34"/>
  <c r="B271" i="34"/>
  <c r="D269" i="34"/>
  <c r="E269" i="34" s="1"/>
  <c r="C271" i="34" l="1"/>
  <c r="B272" i="34"/>
  <c r="F269" i="34"/>
  <c r="D270" i="34"/>
  <c r="E270" i="34" s="1"/>
  <c r="C272" i="34" l="1"/>
  <c r="B273" i="34"/>
  <c r="F270" i="34"/>
  <c r="D271" i="34"/>
  <c r="E271" i="34" s="1"/>
  <c r="B274" i="34" l="1"/>
  <c r="C273" i="34"/>
  <c r="F271" i="34"/>
  <c r="D272" i="34"/>
  <c r="E272" i="34" s="1"/>
  <c r="D273" i="34" l="1"/>
  <c r="E273" i="34" s="1"/>
  <c r="F273" i="34" s="1"/>
  <c r="F272" i="34"/>
  <c r="C274" i="34"/>
  <c r="B275" i="34"/>
  <c r="C275" i="34" l="1"/>
  <c r="B276" i="34"/>
  <c r="D274" i="34"/>
  <c r="E274" i="34" s="1"/>
  <c r="F274" i="34" l="1"/>
  <c r="C276" i="34"/>
  <c r="B277" i="34"/>
  <c r="D275" i="34"/>
  <c r="E275" i="34" s="1"/>
  <c r="F275" i="34" l="1"/>
  <c r="C277" i="34"/>
  <c r="B278" i="34"/>
  <c r="D276" i="34"/>
  <c r="E276" i="34" s="1"/>
  <c r="F276" i="34" l="1"/>
  <c r="C278" i="34"/>
  <c r="B279" i="34"/>
  <c r="D277" i="34"/>
  <c r="E277" i="34" s="1"/>
  <c r="F277" i="34" s="1"/>
  <c r="C279" i="34" l="1"/>
  <c r="B280" i="34"/>
  <c r="D278" i="34"/>
  <c r="E278" i="34" s="1"/>
  <c r="F278" i="34" l="1"/>
  <c r="C280" i="34"/>
  <c r="B281" i="34"/>
  <c r="D279" i="34"/>
  <c r="E279" i="34" s="1"/>
  <c r="B282" i="34" l="1"/>
  <c r="C281" i="34"/>
  <c r="F279" i="34"/>
  <c r="D280" i="34"/>
  <c r="E280" i="34" s="1"/>
  <c r="F280" i="34" l="1"/>
  <c r="D281" i="34"/>
  <c r="E281" i="34" s="1"/>
  <c r="C282" i="34"/>
  <c r="B283" i="34"/>
  <c r="C283" i="34" l="1"/>
  <c r="B284" i="34"/>
  <c r="D282" i="34"/>
  <c r="E282" i="34" s="1"/>
  <c r="F281" i="34"/>
  <c r="F282" i="34" l="1"/>
  <c r="C284" i="34"/>
  <c r="B285" i="34"/>
  <c r="D283" i="34"/>
  <c r="E283" i="34" s="1"/>
  <c r="D284" i="34" l="1"/>
  <c r="E284" i="34" s="1"/>
  <c r="F283" i="34"/>
  <c r="C285" i="34"/>
  <c r="B286" i="34"/>
  <c r="F284" i="34" l="1"/>
  <c r="C286" i="34"/>
  <c r="B287" i="34"/>
  <c r="D285" i="34"/>
  <c r="E285" i="34" s="1"/>
  <c r="F285" i="34" l="1"/>
  <c r="C287" i="34"/>
  <c r="B288" i="34"/>
  <c r="D286" i="34"/>
  <c r="E286" i="34" s="1"/>
  <c r="F286" i="34" l="1"/>
  <c r="B289" i="34"/>
  <c r="C288" i="34"/>
  <c r="D287" i="34"/>
  <c r="E287" i="34" s="1"/>
  <c r="F287" i="34" l="1"/>
  <c r="D288" i="34"/>
  <c r="E288" i="34" s="1"/>
  <c r="C289" i="34"/>
  <c r="B290" i="34"/>
  <c r="F288" i="34" l="1"/>
  <c r="D289" i="34"/>
  <c r="E289" i="34" s="1"/>
  <c r="F289" i="34" s="1"/>
  <c r="C290" i="34"/>
  <c r="B291" i="34"/>
  <c r="C291" i="34" l="1"/>
  <c r="B292" i="34"/>
  <c r="D290" i="34"/>
  <c r="E290" i="34" s="1"/>
  <c r="F290" i="34" l="1"/>
  <c r="C292" i="34"/>
  <c r="B293" i="34"/>
  <c r="D291" i="34"/>
  <c r="E291" i="34" s="1"/>
  <c r="F291" i="34" l="1"/>
  <c r="C293" i="34"/>
  <c r="B294" i="34"/>
  <c r="D292" i="34"/>
  <c r="E292" i="34" s="1"/>
  <c r="F292" i="34" l="1"/>
  <c r="C294" i="34"/>
  <c r="B295" i="34"/>
  <c r="D293" i="34"/>
  <c r="E293" i="34" s="1"/>
  <c r="F293" i="34" l="1"/>
  <c r="C295" i="34"/>
  <c r="B296" i="34"/>
  <c r="D294" i="34"/>
  <c r="E294" i="34" s="1"/>
  <c r="C296" i="34" l="1"/>
  <c r="B297" i="34"/>
  <c r="F294" i="34"/>
  <c r="D295" i="34"/>
  <c r="E295" i="34" s="1"/>
  <c r="F295" i="34" l="1"/>
  <c r="C297" i="34"/>
  <c r="B298" i="34"/>
  <c r="D296" i="34"/>
  <c r="E296" i="34" s="1"/>
  <c r="F296" i="34" l="1"/>
  <c r="C298" i="34"/>
  <c r="B299" i="34"/>
  <c r="D297" i="34"/>
  <c r="E297" i="34" s="1"/>
  <c r="F297" i="34" l="1"/>
  <c r="C299" i="34"/>
  <c r="B300" i="34"/>
  <c r="D298" i="34"/>
  <c r="E298" i="34" s="1"/>
  <c r="F298" i="34" l="1"/>
  <c r="C300" i="34"/>
  <c r="B301" i="34"/>
  <c r="D299" i="34"/>
  <c r="E299" i="34" s="1"/>
  <c r="F299" i="34" l="1"/>
  <c r="C301" i="34"/>
  <c r="B302" i="34"/>
  <c r="D300" i="34"/>
  <c r="E300" i="34" s="1"/>
  <c r="C302" i="34" l="1"/>
  <c r="B303" i="34"/>
  <c r="F300" i="34"/>
  <c r="D301" i="34"/>
  <c r="E301" i="34" s="1"/>
  <c r="F301" i="34" l="1"/>
  <c r="C303" i="34"/>
  <c r="B304" i="34"/>
  <c r="D302" i="34"/>
  <c r="E302" i="34" s="1"/>
  <c r="F302" i="34" l="1"/>
  <c r="C304" i="34"/>
  <c r="B305" i="34"/>
  <c r="D303" i="34"/>
  <c r="E303" i="34" s="1"/>
  <c r="F303" i="34" l="1"/>
  <c r="C305" i="34"/>
  <c r="B306" i="34"/>
  <c r="D304" i="34"/>
  <c r="E304" i="34" s="1"/>
  <c r="C306" i="34" l="1"/>
  <c r="B307" i="34"/>
  <c r="F304" i="34"/>
  <c r="D305" i="34"/>
  <c r="E305" i="34" s="1"/>
  <c r="F305" i="34" l="1"/>
  <c r="C307" i="34"/>
  <c r="B308" i="34"/>
  <c r="D306" i="34"/>
  <c r="E306" i="34" s="1"/>
  <c r="F306" i="34" l="1"/>
  <c r="C308" i="34"/>
  <c r="B309" i="34"/>
  <c r="D307" i="34"/>
  <c r="E307" i="34" s="1"/>
  <c r="F307" i="34" l="1"/>
  <c r="C309" i="34"/>
  <c r="B310" i="34"/>
  <c r="D308" i="34"/>
  <c r="E308" i="34" s="1"/>
  <c r="F308" i="34" l="1"/>
  <c r="C310" i="34"/>
  <c r="B311" i="34"/>
  <c r="D309" i="34"/>
  <c r="E309" i="34" s="1"/>
  <c r="F309" i="34" l="1"/>
  <c r="C311" i="34"/>
  <c r="B312" i="34"/>
  <c r="D310" i="34"/>
  <c r="E310" i="34" s="1"/>
  <c r="C312" i="34" l="1"/>
  <c r="B313" i="34"/>
  <c r="F310" i="34"/>
  <c r="D311" i="34"/>
  <c r="E311" i="34" s="1"/>
  <c r="F311" i="34" l="1"/>
  <c r="C313" i="34"/>
  <c r="B314" i="34"/>
  <c r="D312" i="34"/>
  <c r="E312" i="34" s="1"/>
  <c r="F312" i="34" l="1"/>
  <c r="C314" i="34"/>
  <c r="B315" i="34"/>
  <c r="D313" i="34"/>
  <c r="E313" i="34" s="1"/>
  <c r="F313" i="34" s="1"/>
  <c r="C315" i="34" l="1"/>
  <c r="B316" i="34"/>
  <c r="D314" i="34"/>
  <c r="E314" i="34" s="1"/>
  <c r="F314" i="34" s="1"/>
  <c r="C316" i="34" l="1"/>
  <c r="B317" i="34"/>
  <c r="D315" i="34"/>
  <c r="E315" i="34" s="1"/>
  <c r="C317" i="34" l="1"/>
  <c r="B318" i="34"/>
  <c r="F315" i="34"/>
  <c r="D316" i="34"/>
  <c r="E316" i="34" s="1"/>
  <c r="F316" i="34" l="1"/>
  <c r="C318" i="34"/>
  <c r="B319" i="34"/>
  <c r="D317" i="34"/>
  <c r="E317" i="34" s="1"/>
  <c r="C319" i="34" l="1"/>
  <c r="B320" i="34"/>
  <c r="F317" i="34"/>
  <c r="D318" i="34"/>
  <c r="E318" i="34" s="1"/>
  <c r="B321" i="34" l="1"/>
  <c r="C320" i="34"/>
  <c r="F318" i="34"/>
  <c r="D319" i="34"/>
  <c r="E319" i="34" s="1"/>
  <c r="F319" i="34" l="1"/>
  <c r="D320" i="34"/>
  <c r="E320" i="34" s="1"/>
  <c r="C321" i="34"/>
  <c r="B322" i="34"/>
  <c r="C322" i="34" l="1"/>
  <c r="B323" i="34"/>
  <c r="D321" i="34"/>
  <c r="E321" i="34" s="1"/>
  <c r="F320" i="34"/>
  <c r="F321" i="34" l="1"/>
  <c r="C323" i="34"/>
  <c r="B324" i="34"/>
  <c r="D322" i="34"/>
  <c r="E322" i="34" s="1"/>
  <c r="F322" i="34" l="1"/>
  <c r="C324" i="34"/>
  <c r="B325" i="34"/>
  <c r="D323" i="34"/>
  <c r="E323" i="34" s="1"/>
  <c r="F323" i="34" l="1"/>
  <c r="D324" i="34"/>
  <c r="E324" i="34" s="1"/>
  <c r="C325" i="34"/>
  <c r="B326" i="34"/>
  <c r="C326" i="34" l="1"/>
  <c r="B327" i="34"/>
  <c r="D325" i="34"/>
  <c r="E325" i="34" s="1"/>
  <c r="F324" i="34"/>
  <c r="F325" i="34" l="1"/>
  <c r="C327" i="34"/>
  <c r="B328" i="34"/>
  <c r="D326" i="34"/>
  <c r="E326" i="34" s="1"/>
  <c r="F326" i="34" s="1"/>
  <c r="B329" i="34" l="1"/>
  <c r="C328" i="34"/>
  <c r="D327" i="34"/>
  <c r="E327" i="34" s="1"/>
  <c r="D328" i="34" l="1"/>
  <c r="E328" i="34" s="1"/>
  <c r="F327" i="34"/>
  <c r="C329" i="34"/>
  <c r="B330" i="34"/>
  <c r="F328" i="34" l="1"/>
  <c r="D329" i="34"/>
  <c r="E329" i="34" s="1"/>
  <c r="C330" i="34"/>
  <c r="B331" i="34"/>
  <c r="F329" i="34" l="1"/>
  <c r="C331" i="34"/>
  <c r="B332" i="34"/>
  <c r="D330" i="34"/>
  <c r="E330" i="34" s="1"/>
  <c r="F330" i="34" l="1"/>
  <c r="C332" i="34"/>
  <c r="B333" i="34"/>
  <c r="D331" i="34"/>
  <c r="E331" i="34" s="1"/>
  <c r="F331" i="34" l="1"/>
  <c r="C333" i="34"/>
  <c r="B334" i="34"/>
  <c r="D332" i="34"/>
  <c r="E332" i="34" s="1"/>
  <c r="F332" i="34" s="1"/>
  <c r="C334" i="34" l="1"/>
  <c r="B335" i="34"/>
  <c r="D333" i="34"/>
  <c r="E333" i="34" s="1"/>
  <c r="F333" i="34" l="1"/>
  <c r="B336" i="34"/>
  <c r="C335" i="34"/>
  <c r="D334" i="34"/>
  <c r="E334" i="34" s="1"/>
  <c r="D335" i="34" l="1"/>
  <c r="E335" i="34" s="1"/>
  <c r="F335" i="34" s="1"/>
  <c r="F334" i="34"/>
  <c r="C336" i="34"/>
  <c r="B337" i="34"/>
  <c r="C337" i="34" l="1"/>
  <c r="B338" i="34"/>
  <c r="D336" i="34"/>
  <c r="E336" i="34" s="1"/>
  <c r="F336" i="34" l="1"/>
  <c r="C338" i="34"/>
  <c r="B339" i="34"/>
  <c r="D337" i="34"/>
  <c r="E337" i="34" s="1"/>
  <c r="F337" i="34" l="1"/>
  <c r="C339" i="34"/>
  <c r="B340" i="34"/>
  <c r="D338" i="34"/>
  <c r="E338" i="34" s="1"/>
  <c r="F338" i="34" l="1"/>
  <c r="C340" i="34"/>
  <c r="B341" i="34"/>
  <c r="D339" i="34"/>
  <c r="E339" i="34" s="1"/>
  <c r="F339" i="34" l="1"/>
  <c r="C341" i="34"/>
  <c r="B342" i="34"/>
  <c r="D340" i="34"/>
  <c r="E340" i="34" s="1"/>
  <c r="F340" i="34" l="1"/>
  <c r="C342" i="34"/>
  <c r="B343" i="34"/>
  <c r="D341" i="34"/>
  <c r="E341" i="34" s="1"/>
  <c r="F341" i="34" l="1"/>
  <c r="B344" i="34"/>
  <c r="C343" i="34"/>
  <c r="D342" i="34"/>
  <c r="E342" i="34" s="1"/>
  <c r="F342" i="34" l="1"/>
  <c r="C344" i="34"/>
  <c r="B345" i="34"/>
  <c r="D343" i="34"/>
  <c r="E343" i="34" s="1"/>
  <c r="F343" i="34" l="1"/>
  <c r="C345" i="34"/>
  <c r="B346" i="34"/>
  <c r="D344" i="34"/>
  <c r="E344" i="34" s="1"/>
  <c r="F344" i="34" l="1"/>
  <c r="C346" i="34"/>
  <c r="B347" i="34"/>
  <c r="D345" i="34"/>
  <c r="E345" i="34" s="1"/>
  <c r="C347" i="34" l="1"/>
  <c r="B348" i="34"/>
  <c r="F345" i="34"/>
  <c r="D346" i="34"/>
  <c r="E346" i="34" s="1"/>
  <c r="F346" i="34" l="1"/>
  <c r="C348" i="34"/>
  <c r="B349" i="34"/>
  <c r="D347" i="34"/>
  <c r="E347" i="34" s="1"/>
  <c r="F347" i="34" l="1"/>
  <c r="C349" i="34"/>
  <c r="B350" i="34"/>
  <c r="D348" i="34"/>
  <c r="E348" i="34" s="1"/>
  <c r="F348" i="34" l="1"/>
  <c r="B351" i="34"/>
  <c r="C350" i="34"/>
  <c r="D349" i="34"/>
  <c r="E349" i="34" s="1"/>
  <c r="F349" i="34" l="1"/>
  <c r="D350" i="34"/>
  <c r="E350" i="34" s="1"/>
  <c r="F350" i="34" s="1"/>
  <c r="C351" i="34"/>
  <c r="B352" i="34"/>
  <c r="D351" i="34" l="1"/>
  <c r="E351" i="34" s="1"/>
  <c r="C352" i="34"/>
  <c r="B353" i="34"/>
  <c r="F351" i="34" l="1"/>
  <c r="D352" i="34"/>
  <c r="E352" i="34" s="1"/>
  <c r="C353" i="34"/>
  <c r="B354" i="34"/>
  <c r="F352" i="34" l="1"/>
  <c r="D353" i="34"/>
  <c r="E353" i="34" s="1"/>
  <c r="F353" i="34" s="1"/>
  <c r="B355" i="34"/>
  <c r="C354" i="34"/>
  <c r="C355" i="34" l="1"/>
  <c r="B356" i="34"/>
  <c r="D354" i="34"/>
  <c r="E354" i="34" s="1"/>
  <c r="F354" i="34" l="1"/>
  <c r="C356" i="34"/>
  <c r="B357" i="34"/>
  <c r="D355" i="34"/>
  <c r="E355" i="34" s="1"/>
  <c r="F355" i="34" l="1"/>
  <c r="C357" i="34"/>
  <c r="B358" i="34"/>
  <c r="D356" i="34"/>
  <c r="E356" i="34" s="1"/>
  <c r="F356" i="34" l="1"/>
  <c r="C358" i="34"/>
  <c r="B359" i="34"/>
  <c r="D357" i="34"/>
  <c r="E357" i="34" s="1"/>
  <c r="F357" i="34" s="1"/>
  <c r="C359" i="34" l="1"/>
  <c r="B360" i="34"/>
  <c r="D358" i="34"/>
  <c r="E358" i="34" s="1"/>
  <c r="F358" i="34" l="1"/>
  <c r="C360" i="34"/>
  <c r="B361" i="34"/>
  <c r="D359" i="34"/>
  <c r="E359" i="34" s="1"/>
  <c r="C361" i="34" l="1"/>
  <c r="B362" i="34"/>
  <c r="F359" i="34"/>
  <c r="D360" i="34"/>
  <c r="E360" i="34" s="1"/>
  <c r="F360" i="34" l="1"/>
  <c r="C362" i="34"/>
  <c r="B363" i="34"/>
  <c r="D361" i="34"/>
  <c r="E361" i="34" s="1"/>
  <c r="F361" i="34" l="1"/>
  <c r="C363" i="34"/>
  <c r="B364" i="34"/>
  <c r="D362" i="34"/>
  <c r="E362" i="34" s="1"/>
  <c r="F362" i="34" l="1"/>
  <c r="C364" i="34"/>
  <c r="B365" i="34"/>
  <c r="D363" i="34"/>
  <c r="E363" i="34" s="1"/>
  <c r="F363" i="34" s="1"/>
  <c r="C365" i="34" l="1"/>
  <c r="B366" i="34"/>
  <c r="D364" i="34"/>
  <c r="E364" i="34" s="1"/>
  <c r="C366" i="34" l="1"/>
  <c r="B367" i="34"/>
  <c r="F364" i="34"/>
  <c r="D365" i="34"/>
  <c r="E365" i="34" s="1"/>
  <c r="F365" i="34" l="1"/>
  <c r="B368" i="34"/>
  <c r="C367" i="34"/>
  <c r="D366" i="34"/>
  <c r="E366" i="34" s="1"/>
  <c r="D367" i="34" l="1"/>
  <c r="E367" i="34" s="1"/>
  <c r="F366" i="34"/>
  <c r="C368" i="34"/>
  <c r="B369" i="34"/>
  <c r="F367" i="34" l="1"/>
  <c r="C369" i="34"/>
  <c r="B370" i="34"/>
  <c r="D368" i="34"/>
  <c r="E368" i="34" s="1"/>
  <c r="F368" i="34" s="1"/>
  <c r="C370" i="34" l="1"/>
  <c r="B371" i="34"/>
  <c r="D369" i="34"/>
  <c r="E369" i="34" s="1"/>
  <c r="F369" i="34" l="1"/>
  <c r="C371" i="34"/>
  <c r="B372" i="34"/>
  <c r="D370" i="34"/>
  <c r="E370" i="34" s="1"/>
  <c r="F370" i="34" l="1"/>
  <c r="C372" i="34"/>
  <c r="B373" i="34"/>
  <c r="D371" i="34"/>
  <c r="E371" i="34" s="1"/>
  <c r="F371" i="34" l="1"/>
  <c r="C373" i="34"/>
  <c r="B374" i="34"/>
  <c r="D372" i="34"/>
  <c r="E372" i="34" s="1"/>
  <c r="F372" i="34" s="1"/>
  <c r="C374" i="34" l="1"/>
  <c r="B375" i="34"/>
  <c r="D373" i="34"/>
  <c r="E373" i="34" s="1"/>
  <c r="F373" i="34" s="1"/>
  <c r="C375" i="34" l="1"/>
  <c r="B376" i="34"/>
  <c r="D374" i="34"/>
  <c r="E374" i="34" s="1"/>
  <c r="F374" i="34" l="1"/>
  <c r="C376" i="34"/>
  <c r="B377" i="34"/>
  <c r="D375" i="34"/>
  <c r="E375" i="34" s="1"/>
  <c r="F375" i="34" l="1"/>
  <c r="C377" i="34"/>
  <c r="B378" i="34"/>
  <c r="D376" i="34"/>
  <c r="E376" i="34" s="1"/>
  <c r="F376" i="34" l="1"/>
  <c r="C378" i="34"/>
  <c r="B379" i="34"/>
  <c r="D377" i="34"/>
  <c r="E377" i="34" s="1"/>
  <c r="F377" i="34" s="1"/>
  <c r="C379" i="34" l="1"/>
  <c r="B380" i="34"/>
  <c r="D378" i="34"/>
  <c r="E378" i="34" s="1"/>
  <c r="F378" i="34" s="1"/>
  <c r="C380" i="34" l="1"/>
  <c r="B381" i="34"/>
  <c r="D379" i="34"/>
  <c r="E379" i="34" s="1"/>
  <c r="F379" i="34" l="1"/>
  <c r="C381" i="34"/>
  <c r="B382" i="34"/>
  <c r="D380" i="34"/>
  <c r="E380" i="34" s="1"/>
  <c r="F380" i="34" l="1"/>
  <c r="C382" i="34"/>
  <c r="B383" i="34"/>
  <c r="D381" i="34"/>
  <c r="E381" i="34" s="1"/>
  <c r="F381" i="34" l="1"/>
  <c r="C383" i="34"/>
  <c r="B384" i="34"/>
  <c r="D382" i="34"/>
  <c r="E382" i="34" s="1"/>
  <c r="F382" i="34" l="1"/>
  <c r="C384" i="34"/>
  <c r="B385" i="34"/>
  <c r="D383" i="34"/>
  <c r="E383" i="34" s="1"/>
  <c r="F383" i="34" l="1"/>
  <c r="C385" i="34"/>
  <c r="B386" i="34"/>
  <c r="D384" i="34"/>
  <c r="E384" i="34" s="1"/>
  <c r="F384" i="34" l="1"/>
  <c r="C386" i="34"/>
  <c r="B387" i="34"/>
  <c r="D385" i="34"/>
  <c r="E385" i="34" s="1"/>
  <c r="F385" i="34" l="1"/>
  <c r="C387" i="34"/>
  <c r="B388" i="34"/>
  <c r="D386" i="34"/>
  <c r="E386" i="34" s="1"/>
  <c r="F386" i="34" l="1"/>
  <c r="C388" i="34"/>
  <c r="B389" i="34"/>
  <c r="D387" i="34"/>
  <c r="E387" i="34" s="1"/>
  <c r="F387" i="34" l="1"/>
  <c r="C389" i="34"/>
  <c r="B390" i="34"/>
  <c r="D388" i="34"/>
  <c r="E388" i="34" s="1"/>
  <c r="F388" i="34" l="1"/>
  <c r="C390" i="34"/>
  <c r="B391" i="34"/>
  <c r="D389" i="34"/>
  <c r="E389" i="34" s="1"/>
  <c r="F389" i="34" l="1"/>
  <c r="B392" i="34"/>
  <c r="C391" i="34"/>
  <c r="D390" i="34"/>
  <c r="E390" i="34" s="1"/>
  <c r="D391" i="34" l="1"/>
  <c r="E391" i="34" s="1"/>
  <c r="F390" i="34"/>
  <c r="C392" i="34"/>
  <c r="B393" i="34"/>
  <c r="F391" i="34" l="1"/>
  <c r="D392" i="34"/>
  <c r="E392" i="34" s="1"/>
  <c r="C393" i="34"/>
  <c r="B394" i="34"/>
  <c r="D393" i="34" l="1"/>
  <c r="E393" i="34" s="1"/>
  <c r="C394" i="34"/>
  <c r="B395" i="34"/>
  <c r="F392" i="34"/>
  <c r="D394" i="34" l="1"/>
  <c r="E394" i="34" s="1"/>
  <c r="B396" i="34"/>
  <c r="C395" i="34"/>
  <c r="F393" i="34"/>
  <c r="F394" i="34" l="1"/>
  <c r="C396" i="34"/>
  <c r="B397" i="34"/>
  <c r="D395" i="34"/>
  <c r="E395" i="34" s="1"/>
  <c r="F395" i="34" l="1"/>
  <c r="C397" i="34"/>
  <c r="B398" i="34"/>
  <c r="D396" i="34"/>
  <c r="E396" i="34" s="1"/>
  <c r="F396" i="34" l="1"/>
  <c r="C398" i="34"/>
  <c r="B399" i="34"/>
  <c r="D397" i="34"/>
  <c r="E397" i="34" s="1"/>
  <c r="F397" i="34" s="1"/>
  <c r="B400" i="34" l="1"/>
  <c r="C399" i="34"/>
  <c r="D398" i="34"/>
  <c r="E398" i="34" s="1"/>
  <c r="D399" i="34" l="1"/>
  <c r="E399" i="34" s="1"/>
  <c r="F398" i="34"/>
  <c r="C400" i="34"/>
  <c r="B401" i="34"/>
  <c r="C401" i="34" l="1"/>
  <c r="B402" i="34"/>
  <c r="D400" i="34"/>
  <c r="E400" i="34" s="1"/>
  <c r="F400" i="34" s="1"/>
  <c r="F399" i="34"/>
  <c r="C402" i="34" l="1"/>
  <c r="B403" i="34"/>
  <c r="D401" i="34"/>
  <c r="E401" i="34" s="1"/>
  <c r="F401" i="34" l="1"/>
  <c r="C403" i="34"/>
  <c r="B404" i="34"/>
  <c r="D402" i="34"/>
  <c r="E402" i="34" s="1"/>
  <c r="F402" i="34" l="1"/>
  <c r="C404" i="34"/>
  <c r="B405" i="34"/>
  <c r="D403" i="34"/>
  <c r="E403" i="34" s="1"/>
  <c r="F403" i="34" l="1"/>
  <c r="C405" i="34"/>
  <c r="B406" i="34"/>
  <c r="D404" i="34"/>
  <c r="E404" i="34" s="1"/>
  <c r="F404" i="34" s="1"/>
  <c r="B407" i="34" l="1"/>
  <c r="C406" i="34"/>
  <c r="D405" i="34"/>
  <c r="E405" i="34" s="1"/>
  <c r="F405" i="34" l="1"/>
  <c r="D406" i="34"/>
  <c r="E406" i="34" s="1"/>
  <c r="C407" i="34"/>
  <c r="B408" i="34"/>
  <c r="F406" i="34" l="1"/>
  <c r="D407" i="34"/>
  <c r="E407" i="34" s="1"/>
  <c r="B409" i="34"/>
  <c r="C408" i="34"/>
  <c r="F407" i="34" l="1"/>
  <c r="C409" i="34"/>
  <c r="B410" i="34"/>
  <c r="D408" i="34"/>
  <c r="E408" i="34" s="1"/>
  <c r="F408" i="34" l="1"/>
  <c r="C410" i="34"/>
  <c r="B411" i="34"/>
  <c r="D409" i="34"/>
  <c r="E409" i="34" s="1"/>
  <c r="F409" i="34" l="1"/>
  <c r="C411" i="34"/>
  <c r="B412" i="34"/>
  <c r="D410" i="34"/>
  <c r="E410" i="34" s="1"/>
  <c r="F410" i="34" l="1"/>
  <c r="C412" i="34"/>
  <c r="B413" i="34"/>
  <c r="D411" i="34"/>
  <c r="E411" i="34" s="1"/>
  <c r="F411" i="34" l="1"/>
  <c r="C413" i="34"/>
  <c r="B414" i="34"/>
  <c r="D412" i="34"/>
  <c r="E412" i="34" s="1"/>
  <c r="F412" i="34" l="1"/>
  <c r="C414" i="34"/>
  <c r="B415" i="34"/>
  <c r="D413" i="34"/>
  <c r="E413" i="34" s="1"/>
  <c r="F413" i="34" l="1"/>
  <c r="C415" i="34"/>
  <c r="B416" i="34"/>
  <c r="D414" i="34"/>
  <c r="E414" i="34" s="1"/>
  <c r="F414" i="34" l="1"/>
  <c r="C416" i="34"/>
  <c r="B417" i="34"/>
  <c r="D415" i="34"/>
  <c r="E415" i="34" s="1"/>
  <c r="F415" i="34" s="1"/>
  <c r="B418" i="34" l="1"/>
  <c r="C417" i="34"/>
  <c r="D416" i="34"/>
  <c r="E416" i="34" s="1"/>
  <c r="F416" i="34" l="1"/>
  <c r="D417" i="34"/>
  <c r="E417" i="34" s="1"/>
  <c r="C418" i="34"/>
  <c r="B419" i="34"/>
  <c r="C419" i="34" l="1"/>
  <c r="B420" i="34"/>
  <c r="D418" i="34"/>
  <c r="E418" i="34" s="1"/>
  <c r="F418" i="34" s="1"/>
  <c r="F417" i="34"/>
  <c r="C420" i="34" l="1"/>
  <c r="B421" i="34"/>
  <c r="D419" i="34"/>
  <c r="E419" i="34" s="1"/>
  <c r="F419" i="34" l="1"/>
  <c r="C421" i="34"/>
  <c r="B422" i="34"/>
  <c r="D420" i="34"/>
  <c r="E420" i="34" s="1"/>
  <c r="F420" i="34" l="1"/>
  <c r="C422" i="34"/>
  <c r="B423" i="34"/>
  <c r="D421" i="34"/>
  <c r="E421" i="34" s="1"/>
  <c r="F421" i="34" l="1"/>
  <c r="C423" i="34"/>
  <c r="B424" i="34"/>
  <c r="D422" i="34"/>
  <c r="E422" i="34" s="1"/>
  <c r="F422" i="34" l="1"/>
  <c r="B425" i="34"/>
  <c r="C424" i="34"/>
  <c r="D423" i="34"/>
  <c r="E423" i="34" s="1"/>
  <c r="F423" i="34" s="1"/>
  <c r="D424" i="34" l="1"/>
  <c r="E424" i="34" s="1"/>
  <c r="F424" i="34" s="1"/>
  <c r="C425" i="34"/>
  <c r="B426" i="34"/>
  <c r="B427" i="34" l="1"/>
  <c r="C426" i="34"/>
  <c r="D425" i="34"/>
  <c r="E425" i="34" s="1"/>
  <c r="F425" i="34" l="1"/>
  <c r="D426" i="34"/>
  <c r="E426" i="34" s="1"/>
  <c r="F426" i="34" s="1"/>
  <c r="C427" i="34"/>
  <c r="B428" i="34"/>
  <c r="C428" i="34" l="1"/>
  <c r="B429" i="34"/>
  <c r="D427" i="34"/>
  <c r="E427" i="34" s="1"/>
  <c r="F427" i="34" l="1"/>
  <c r="C429" i="34"/>
  <c r="B430" i="34"/>
  <c r="D428" i="34"/>
  <c r="E428" i="34" s="1"/>
  <c r="F428" i="34" l="1"/>
  <c r="C430" i="34"/>
  <c r="B431" i="34"/>
  <c r="D429" i="34"/>
  <c r="E429" i="34" s="1"/>
  <c r="F429" i="34" s="1"/>
  <c r="C431" i="34" l="1"/>
  <c r="B432" i="34"/>
  <c r="D430" i="34"/>
  <c r="E430" i="34" s="1"/>
  <c r="F430" i="34" l="1"/>
  <c r="C432" i="34"/>
  <c r="B433" i="34"/>
  <c r="D431" i="34"/>
  <c r="E431" i="34" s="1"/>
  <c r="F431" i="34" l="1"/>
  <c r="C433" i="34"/>
  <c r="B434" i="34"/>
  <c r="D432" i="34"/>
  <c r="E432" i="34" s="1"/>
  <c r="F432" i="34" l="1"/>
  <c r="C434" i="34"/>
  <c r="B435" i="34"/>
  <c r="D433" i="34"/>
  <c r="E433" i="34" s="1"/>
  <c r="C435" i="34" l="1"/>
  <c r="B436" i="34"/>
  <c r="F433" i="34"/>
  <c r="D434" i="34"/>
  <c r="E434" i="34" s="1"/>
  <c r="F434" i="34" l="1"/>
  <c r="C436" i="34"/>
  <c r="B437" i="34"/>
  <c r="D435" i="34"/>
  <c r="E435" i="34" s="1"/>
  <c r="F435" i="34" s="1"/>
  <c r="C437" i="34" l="1"/>
  <c r="B438" i="34"/>
  <c r="D436" i="34"/>
  <c r="E436" i="34" s="1"/>
  <c r="F436" i="34" l="1"/>
  <c r="C438" i="34"/>
  <c r="B439" i="34"/>
  <c r="D437" i="34"/>
  <c r="E437" i="34" s="1"/>
  <c r="F437" i="34" l="1"/>
  <c r="C439" i="34"/>
  <c r="B440" i="34"/>
  <c r="D438" i="34"/>
  <c r="E438" i="34" s="1"/>
  <c r="F438" i="34" l="1"/>
  <c r="B441" i="34"/>
  <c r="C440" i="34"/>
  <c r="D439" i="34"/>
  <c r="E439" i="34" s="1"/>
  <c r="F439" i="34" s="1"/>
  <c r="D440" i="34" l="1"/>
  <c r="E440" i="34" s="1"/>
  <c r="F440" i="34" s="1"/>
  <c r="B442" i="34"/>
  <c r="C441" i="34"/>
  <c r="D441" i="34" l="1"/>
  <c r="E441" i="34" s="1"/>
  <c r="C442" i="34"/>
  <c r="B443" i="34"/>
  <c r="D442" i="34" l="1"/>
  <c r="E442" i="34" s="1"/>
  <c r="F442" i="34" s="1"/>
  <c r="C443" i="34"/>
  <c r="B444" i="34"/>
  <c r="F441" i="34"/>
  <c r="D443" i="34" l="1"/>
  <c r="E443" i="34" s="1"/>
  <c r="C444" i="34"/>
  <c r="B445" i="34"/>
  <c r="D444" i="34" l="1"/>
  <c r="E444" i="34" s="1"/>
  <c r="C445" i="34"/>
  <c r="B446" i="34"/>
  <c r="F443" i="34"/>
  <c r="D445" i="34" l="1"/>
  <c r="E445" i="34" s="1"/>
  <c r="C446" i="34"/>
  <c r="B447" i="34"/>
  <c r="F444" i="34"/>
  <c r="F445" i="34" l="1"/>
  <c r="C447" i="34"/>
  <c r="B448" i="34"/>
  <c r="D446" i="34"/>
  <c r="E446" i="34" s="1"/>
  <c r="F446" i="34" l="1"/>
  <c r="C448" i="34"/>
  <c r="B449" i="34"/>
  <c r="D447" i="34"/>
  <c r="E447" i="34" s="1"/>
  <c r="F447" i="34" l="1"/>
  <c r="C449" i="34"/>
  <c r="B450" i="34"/>
  <c r="D448" i="34"/>
  <c r="E448" i="34" s="1"/>
  <c r="F448" i="34" l="1"/>
  <c r="C450" i="34"/>
  <c r="B451" i="34"/>
  <c r="D449" i="34"/>
  <c r="E449" i="34" s="1"/>
  <c r="F449" i="34" l="1"/>
  <c r="C451" i="34"/>
  <c r="B452" i="34"/>
  <c r="D450" i="34"/>
  <c r="E450" i="34" s="1"/>
  <c r="F450" i="34" s="1"/>
  <c r="C452" i="34" l="1"/>
  <c r="B453" i="34"/>
  <c r="D451" i="34"/>
  <c r="E451" i="34" s="1"/>
  <c r="F451" i="34" s="1"/>
  <c r="B454" i="34" l="1"/>
  <c r="C453" i="34"/>
  <c r="D452" i="34"/>
  <c r="E452" i="34" s="1"/>
  <c r="F452" i="34" s="1"/>
  <c r="D453" i="34" l="1"/>
  <c r="E453" i="34" s="1"/>
  <c r="F453" i="34" s="1"/>
  <c r="C454" i="34"/>
  <c r="B455" i="34"/>
  <c r="C455" i="34" l="1"/>
  <c r="B456" i="34"/>
  <c r="D454" i="34"/>
  <c r="E454" i="34" s="1"/>
  <c r="F454" i="34" l="1"/>
  <c r="C456" i="34"/>
  <c r="B457" i="34"/>
  <c r="D455" i="34"/>
  <c r="E455" i="34" s="1"/>
  <c r="F455" i="34" l="1"/>
  <c r="C457" i="34"/>
  <c r="B458" i="34"/>
  <c r="D456" i="34"/>
  <c r="E456" i="34" s="1"/>
  <c r="F456" i="34" s="1"/>
  <c r="C458" i="34" l="1"/>
  <c r="B459" i="34"/>
  <c r="D457" i="34"/>
  <c r="E457" i="34" s="1"/>
  <c r="F457" i="34" l="1"/>
  <c r="C459" i="34"/>
  <c r="B460" i="34"/>
  <c r="D458" i="34"/>
  <c r="E458" i="34" s="1"/>
  <c r="F458" i="34" l="1"/>
  <c r="B461" i="34"/>
  <c r="C460" i="34"/>
  <c r="D459" i="34"/>
  <c r="E459" i="34" s="1"/>
  <c r="F459" i="34" l="1"/>
  <c r="D460" i="34"/>
  <c r="E460" i="34" s="1"/>
  <c r="C461" i="34"/>
  <c r="B462" i="34"/>
  <c r="F460" i="34" l="1"/>
  <c r="D461" i="34"/>
  <c r="E461" i="34" s="1"/>
  <c r="C462" i="34"/>
  <c r="B463" i="34"/>
  <c r="D462" i="34" l="1"/>
  <c r="E462" i="34" s="1"/>
  <c r="F462" i="34" s="1"/>
  <c r="B464" i="34"/>
  <c r="C463" i="34"/>
  <c r="F461" i="34"/>
  <c r="B465" i="34" l="1"/>
  <c r="C464" i="34"/>
  <c r="D463" i="34"/>
  <c r="E463" i="34" s="1"/>
  <c r="F463" i="34" l="1"/>
  <c r="D464" i="34"/>
  <c r="E464" i="34" s="1"/>
  <c r="C465" i="34"/>
  <c r="B466" i="34"/>
  <c r="D465" i="34" l="1"/>
  <c r="E465" i="34" s="1"/>
  <c r="C466" i="34"/>
  <c r="B467" i="34"/>
  <c r="F464" i="34"/>
  <c r="D466" i="34" l="1"/>
  <c r="E466" i="34" s="1"/>
  <c r="F466" i="34" s="1"/>
  <c r="C467" i="34"/>
  <c r="B468" i="34"/>
  <c r="F465" i="34"/>
  <c r="D467" i="34" l="1"/>
  <c r="E467" i="34" s="1"/>
  <c r="F467" i="34" s="1"/>
  <c r="C468" i="34"/>
  <c r="B469" i="34"/>
  <c r="D468" i="34" l="1"/>
  <c r="E468" i="34" s="1"/>
  <c r="C469" i="34"/>
  <c r="B470" i="34"/>
  <c r="D469" i="34" l="1"/>
  <c r="E469" i="34" s="1"/>
  <c r="C470" i="34"/>
  <c r="B471" i="34"/>
  <c r="F468" i="34"/>
  <c r="F469" i="34" l="1"/>
  <c r="D470" i="34"/>
  <c r="E470" i="34" s="1"/>
  <c r="C471" i="34"/>
  <c r="B472" i="34"/>
  <c r="F470" i="34" l="1"/>
  <c r="D471" i="34"/>
  <c r="E471" i="34" s="1"/>
  <c r="C472" i="34"/>
  <c r="B473" i="34"/>
  <c r="D472" i="34" l="1"/>
  <c r="E472" i="34" s="1"/>
  <c r="B474" i="34"/>
  <c r="C473" i="34"/>
  <c r="F471" i="34"/>
  <c r="F472" i="34" l="1"/>
  <c r="C474" i="34"/>
  <c r="B475" i="34"/>
  <c r="D473" i="34"/>
  <c r="E473" i="34" s="1"/>
  <c r="F473" i="34" l="1"/>
  <c r="C475" i="34"/>
  <c r="B476" i="34"/>
  <c r="D474" i="34"/>
  <c r="E474" i="34" s="1"/>
  <c r="F474" i="34" l="1"/>
  <c r="C476" i="34"/>
  <c r="B477" i="34"/>
  <c r="D475" i="34"/>
  <c r="E475" i="34" s="1"/>
  <c r="F475" i="34" l="1"/>
  <c r="C477" i="34"/>
  <c r="B478" i="34"/>
  <c r="D476" i="34"/>
  <c r="E476" i="34" s="1"/>
  <c r="F476" i="34" l="1"/>
  <c r="C478" i="34"/>
  <c r="B479" i="34"/>
  <c r="D477" i="34"/>
  <c r="E477" i="34" s="1"/>
  <c r="F477" i="34" s="1"/>
  <c r="B480" i="34" l="1"/>
  <c r="C479" i="34"/>
  <c r="D478" i="34"/>
  <c r="E478" i="34" s="1"/>
  <c r="F478" i="34" l="1"/>
  <c r="D479" i="34"/>
  <c r="E479" i="34" s="1"/>
  <c r="C480" i="34"/>
  <c r="B481" i="34"/>
  <c r="F479" i="34" l="1"/>
  <c r="D480" i="34"/>
  <c r="E480" i="34" s="1"/>
  <c r="C481" i="34"/>
  <c r="B482" i="34"/>
  <c r="D481" i="34" l="1"/>
  <c r="E481" i="34" s="1"/>
  <c r="F481" i="34" s="1"/>
  <c r="B483" i="34"/>
  <c r="C482" i="34"/>
  <c r="F480" i="34"/>
  <c r="C483" i="34" l="1"/>
  <c r="B484" i="34"/>
  <c r="D482" i="34"/>
  <c r="E482" i="34" s="1"/>
  <c r="F482" i="34" l="1"/>
  <c r="C484" i="34"/>
  <c r="B485" i="34"/>
  <c r="D483" i="34"/>
  <c r="E483" i="34" s="1"/>
  <c r="F483" i="34" s="1"/>
  <c r="C485" i="34" l="1"/>
  <c r="B486" i="34"/>
  <c r="D484" i="34"/>
  <c r="E484" i="34" s="1"/>
  <c r="F484" i="34" l="1"/>
  <c r="C486" i="34"/>
  <c r="B487" i="34"/>
  <c r="D485" i="34"/>
  <c r="E485" i="34" s="1"/>
  <c r="F485" i="34" l="1"/>
  <c r="C487" i="34"/>
  <c r="B488" i="34"/>
  <c r="D486" i="34"/>
  <c r="E486" i="34" s="1"/>
  <c r="F486" i="34" l="1"/>
  <c r="C488" i="34"/>
  <c r="B489" i="34"/>
  <c r="D487" i="34"/>
  <c r="E487" i="34" s="1"/>
  <c r="F487" i="34" l="1"/>
  <c r="B490" i="34"/>
  <c r="C489" i="34"/>
  <c r="D488" i="34"/>
  <c r="E488" i="34" s="1"/>
  <c r="D489" i="34" l="1"/>
  <c r="E489" i="34" s="1"/>
  <c r="F488" i="34"/>
  <c r="C490" i="34"/>
  <c r="B491" i="34"/>
  <c r="B492" i="34" l="1"/>
  <c r="C491" i="34"/>
  <c r="D490" i="34"/>
  <c r="E490" i="34" s="1"/>
  <c r="F490" i="34" s="1"/>
  <c r="F489" i="34"/>
  <c r="D491" i="34" l="1"/>
  <c r="E491" i="34" s="1"/>
  <c r="F491" i="34" s="1"/>
  <c r="C492" i="34"/>
  <c r="B493" i="34"/>
  <c r="D492" i="34" l="1"/>
  <c r="E492" i="34" s="1"/>
  <c r="C493" i="34"/>
  <c r="B494" i="34"/>
  <c r="D493" i="34" l="1"/>
  <c r="E493" i="34" s="1"/>
  <c r="C494" i="34"/>
  <c r="B495" i="34"/>
  <c r="F492" i="34"/>
  <c r="F493" i="34" l="1"/>
  <c r="D494" i="34"/>
  <c r="E494" i="34" s="1"/>
  <c r="C495" i="34"/>
  <c r="B496" i="34"/>
  <c r="D495" i="34" l="1"/>
  <c r="E495" i="34" s="1"/>
  <c r="B497" i="34"/>
  <c r="C496" i="34"/>
  <c r="F494" i="34"/>
  <c r="C497" i="34" l="1"/>
  <c r="B498" i="34"/>
  <c r="D496" i="34"/>
  <c r="E496" i="34" s="1"/>
  <c r="F495" i="34"/>
  <c r="F496" i="34" l="1"/>
  <c r="C498" i="34"/>
  <c r="B499" i="34"/>
  <c r="D497" i="34"/>
  <c r="E497" i="34" s="1"/>
  <c r="F497" i="34" s="1"/>
  <c r="B500" i="34" l="1"/>
  <c r="C499" i="34"/>
  <c r="D498" i="34"/>
  <c r="E498" i="34" s="1"/>
  <c r="F498" i="34" s="1"/>
  <c r="D499" i="34" l="1"/>
  <c r="E499" i="34" s="1"/>
  <c r="B501" i="34"/>
  <c r="C500" i="34"/>
  <c r="C501" i="34" l="1"/>
  <c r="B502" i="34"/>
  <c r="D500" i="34"/>
  <c r="E500" i="34" s="1"/>
  <c r="F499" i="34"/>
  <c r="F500" i="34" l="1"/>
  <c r="C502" i="34"/>
  <c r="B503" i="34"/>
  <c r="D501" i="34"/>
  <c r="E501" i="34" s="1"/>
  <c r="F501" i="34" l="1"/>
  <c r="C503" i="34"/>
  <c r="B504" i="34"/>
  <c r="D502" i="34"/>
  <c r="E502" i="34" s="1"/>
  <c r="F502" i="34" s="1"/>
  <c r="C504" i="34" l="1"/>
  <c r="B505" i="34"/>
  <c r="D503" i="34"/>
  <c r="E503" i="34" s="1"/>
  <c r="F503" i="34" l="1"/>
  <c r="C505" i="34"/>
  <c r="B506" i="34"/>
  <c r="D504" i="34"/>
  <c r="E504" i="34" s="1"/>
  <c r="F504" i="34" l="1"/>
  <c r="C506" i="34"/>
  <c r="B507" i="34"/>
  <c r="D505" i="34"/>
  <c r="E505" i="34" s="1"/>
  <c r="F505" i="34" l="1"/>
  <c r="B508" i="34"/>
  <c r="C507" i="34"/>
  <c r="D506" i="34"/>
  <c r="E506" i="34" s="1"/>
  <c r="D507" i="34" l="1"/>
  <c r="E507" i="34" s="1"/>
  <c r="F506" i="34"/>
  <c r="C508" i="34"/>
  <c r="B509" i="34"/>
  <c r="C509" i="34" l="1"/>
  <c r="B510" i="34"/>
  <c r="D508" i="34"/>
  <c r="E508" i="34" s="1"/>
  <c r="F507" i="34"/>
  <c r="F508" i="34" l="1"/>
  <c r="B511" i="34"/>
  <c r="C510" i="34"/>
  <c r="D509" i="34"/>
  <c r="E509" i="34" s="1"/>
  <c r="F509" i="34" l="1"/>
  <c r="D510" i="34"/>
  <c r="E510" i="34" s="1"/>
  <c r="F510" i="34" s="1"/>
  <c r="C511" i="34"/>
  <c r="B512" i="34"/>
  <c r="D511" i="34" l="1"/>
  <c r="E511" i="34" s="1"/>
  <c r="C512" i="34"/>
  <c r="B513" i="34"/>
  <c r="F511" i="34" l="1"/>
  <c r="D512" i="34"/>
  <c r="E512" i="34" s="1"/>
  <c r="C513" i="34"/>
  <c r="B514" i="34"/>
  <c r="D513" i="34" l="1"/>
  <c r="E513" i="34" s="1"/>
  <c r="C514" i="34"/>
  <c r="B515" i="34"/>
  <c r="F512" i="34"/>
  <c r="F513" i="34" l="1"/>
  <c r="C515" i="34"/>
  <c r="B516" i="34"/>
  <c r="D514" i="34"/>
  <c r="E514" i="34" s="1"/>
  <c r="F514" i="34" s="1"/>
  <c r="C516" i="34" l="1"/>
  <c r="B517" i="34"/>
  <c r="D515" i="34"/>
  <c r="E515" i="34" s="1"/>
  <c r="F515" i="34" l="1"/>
  <c r="C517" i="34"/>
  <c r="B518" i="34"/>
  <c r="D516" i="34"/>
  <c r="E516" i="34" s="1"/>
  <c r="F516" i="34" l="1"/>
  <c r="C518" i="34"/>
  <c r="B519" i="34"/>
  <c r="D517" i="34"/>
  <c r="E517" i="34" s="1"/>
  <c r="F517" i="34" l="1"/>
  <c r="C519" i="34"/>
  <c r="B520" i="34"/>
  <c r="D518" i="34"/>
  <c r="E518" i="34" s="1"/>
  <c r="F518" i="34" l="1"/>
  <c r="C520" i="34"/>
  <c r="B521" i="34"/>
  <c r="D519" i="34"/>
  <c r="E519" i="34" s="1"/>
  <c r="F519" i="34" l="1"/>
  <c r="B522" i="34"/>
  <c r="C521" i="34"/>
  <c r="D520" i="34"/>
  <c r="E520" i="34" s="1"/>
  <c r="F520" i="34" l="1"/>
  <c r="D521" i="34"/>
  <c r="E521" i="34" s="1"/>
  <c r="C522" i="34"/>
  <c r="B523" i="34"/>
  <c r="F521" i="34" l="1"/>
  <c r="D522" i="34"/>
  <c r="E522" i="34" s="1"/>
  <c r="C523" i="34"/>
  <c r="B524" i="34"/>
  <c r="F522" i="34" l="1"/>
  <c r="D523" i="34"/>
  <c r="E523" i="34" s="1"/>
  <c r="C524" i="34"/>
  <c r="B525" i="34"/>
  <c r="C525" i="34" l="1"/>
  <c r="B526" i="34"/>
  <c r="D524" i="34"/>
  <c r="E524" i="34" s="1"/>
  <c r="F523" i="34"/>
  <c r="F524" i="34" l="1"/>
  <c r="B527" i="34"/>
  <c r="C526" i="34"/>
  <c r="D525" i="34"/>
  <c r="E525" i="34" s="1"/>
  <c r="F525" i="34" l="1"/>
  <c r="D526" i="34"/>
  <c r="E526" i="34" s="1"/>
  <c r="C527" i="34"/>
  <c r="B528" i="34"/>
  <c r="F526" i="34" l="1"/>
  <c r="D527" i="34"/>
  <c r="E527" i="34" s="1"/>
  <c r="C528" i="34"/>
  <c r="B529" i="34"/>
  <c r="F527" i="34" l="1"/>
  <c r="D528" i="34"/>
  <c r="E528" i="34" s="1"/>
  <c r="F528" i="34" s="1"/>
  <c r="C529" i="34"/>
  <c r="B530" i="34"/>
  <c r="D529" i="34" l="1"/>
  <c r="E529" i="34" s="1"/>
  <c r="F529" i="34" s="1"/>
  <c r="C530" i="34"/>
  <c r="B531" i="34"/>
  <c r="D530" i="34" l="1"/>
  <c r="E530" i="34" s="1"/>
  <c r="F530" i="34" s="1"/>
  <c r="C531" i="34"/>
  <c r="B532" i="34"/>
  <c r="D531" i="34" l="1"/>
  <c r="E531" i="34" s="1"/>
  <c r="C532" i="34"/>
  <c r="B533" i="34"/>
  <c r="D532" i="34" l="1"/>
  <c r="E532" i="34" s="1"/>
  <c r="F532" i="34" s="1"/>
  <c r="C533" i="34"/>
  <c r="B534" i="34"/>
  <c r="F531" i="34"/>
  <c r="D533" i="34" l="1"/>
  <c r="E533" i="34" s="1"/>
  <c r="C534" i="34"/>
  <c r="B535" i="34"/>
  <c r="F533" i="34" l="1"/>
  <c r="C535" i="34"/>
  <c r="B536" i="34"/>
  <c r="D534" i="34"/>
  <c r="E534" i="34" s="1"/>
  <c r="F534" i="34" l="1"/>
  <c r="C536" i="34"/>
  <c r="B537" i="34"/>
  <c r="D535" i="34"/>
  <c r="E535" i="34" s="1"/>
  <c r="F535" i="34" l="1"/>
  <c r="C537" i="34"/>
  <c r="B538" i="34"/>
  <c r="D536" i="34"/>
  <c r="E536" i="34" s="1"/>
  <c r="F536" i="34" l="1"/>
  <c r="C538" i="34"/>
  <c r="B539" i="34"/>
  <c r="D537" i="34"/>
  <c r="E537" i="34" s="1"/>
  <c r="C539" i="34" l="1"/>
  <c r="B540" i="34"/>
  <c r="F537" i="34"/>
  <c r="D538" i="34"/>
  <c r="E538" i="34" s="1"/>
  <c r="F538" i="34" l="1"/>
  <c r="B541" i="34"/>
  <c r="C540" i="34"/>
  <c r="D539" i="34"/>
  <c r="E539" i="34" s="1"/>
  <c r="F539" i="34" s="1"/>
  <c r="D540" i="34" l="1"/>
  <c r="E540" i="34" s="1"/>
  <c r="C541" i="34"/>
  <c r="B542" i="34"/>
  <c r="D541" i="34" l="1"/>
  <c r="E541" i="34" s="1"/>
  <c r="C542" i="34"/>
  <c r="B543" i="34"/>
  <c r="F540" i="34"/>
  <c r="F541" i="34" l="1"/>
  <c r="D542" i="34"/>
  <c r="E542" i="34" s="1"/>
  <c r="C543" i="34"/>
  <c r="B544" i="34"/>
  <c r="D543" i="34" l="1"/>
  <c r="E543" i="34" s="1"/>
  <c r="C544" i="34"/>
  <c r="B545" i="34"/>
  <c r="F542" i="34"/>
  <c r="F543" i="34" l="1"/>
  <c r="D544" i="34"/>
  <c r="E544" i="34" s="1"/>
  <c r="C545" i="34"/>
  <c r="B546" i="34"/>
  <c r="F544" i="34" l="1"/>
  <c r="D545" i="34"/>
  <c r="E545" i="34" s="1"/>
  <c r="C546" i="34"/>
  <c r="B547" i="34"/>
  <c r="D546" i="34" l="1"/>
  <c r="E546" i="34" s="1"/>
  <c r="F546" i="34" s="1"/>
  <c r="C547" i="34"/>
  <c r="B548" i="34"/>
  <c r="F545" i="34"/>
  <c r="D547" i="34" l="1"/>
  <c r="E547" i="34" s="1"/>
  <c r="C548" i="34"/>
  <c r="B549" i="34"/>
  <c r="F547" i="34" l="1"/>
  <c r="D548" i="34"/>
  <c r="E548" i="34" s="1"/>
  <c r="C549" i="34"/>
  <c r="B550" i="34"/>
  <c r="F548" i="34" l="1"/>
  <c r="D549" i="34"/>
  <c r="E549" i="34" s="1"/>
  <c r="B551" i="34"/>
  <c r="C550" i="34"/>
  <c r="C551" i="34" l="1"/>
  <c r="B552" i="34"/>
  <c r="D550" i="34"/>
  <c r="E550" i="34" s="1"/>
  <c r="F549" i="34"/>
  <c r="F550" i="34" l="1"/>
  <c r="B553" i="34"/>
  <c r="C552" i="34"/>
  <c r="D551" i="34"/>
  <c r="E551" i="34" s="1"/>
  <c r="D552" i="34" l="1"/>
  <c r="E552" i="34" s="1"/>
  <c r="F551" i="34"/>
  <c r="C553" i="34"/>
  <c r="B554" i="34"/>
  <c r="C554" i="34" l="1"/>
  <c r="B555" i="34"/>
  <c r="D553" i="34"/>
  <c r="E553" i="34" s="1"/>
  <c r="F552" i="34"/>
  <c r="F553" i="34" l="1"/>
  <c r="C555" i="34"/>
  <c r="B556" i="34"/>
  <c r="D554" i="34"/>
  <c r="E554" i="34" s="1"/>
  <c r="F554" i="34" l="1"/>
  <c r="C556" i="34"/>
  <c r="B557" i="34"/>
  <c r="D555" i="34"/>
  <c r="E555" i="34" s="1"/>
  <c r="F555" i="34" l="1"/>
  <c r="B558" i="34"/>
  <c r="C557" i="34"/>
  <c r="D556" i="34"/>
  <c r="E556" i="34" s="1"/>
  <c r="D557" i="34" l="1"/>
  <c r="E557" i="34" s="1"/>
  <c r="F556" i="34"/>
  <c r="C558" i="34"/>
  <c r="B559" i="34"/>
  <c r="F557" i="34" l="1"/>
  <c r="C559" i="34"/>
  <c r="B560" i="34"/>
  <c r="D558" i="34"/>
  <c r="E558" i="34" s="1"/>
  <c r="F558" i="34" l="1"/>
  <c r="C560" i="34"/>
  <c r="B561" i="34"/>
  <c r="D559" i="34"/>
  <c r="E559" i="34" s="1"/>
  <c r="F559" i="34" l="1"/>
  <c r="C561" i="34"/>
  <c r="B562" i="34"/>
  <c r="D560" i="34"/>
  <c r="E560" i="34" s="1"/>
  <c r="F560" i="34" l="1"/>
  <c r="C562" i="34"/>
  <c r="B563" i="34"/>
  <c r="D561" i="34"/>
  <c r="E561" i="34" s="1"/>
  <c r="F561" i="34" l="1"/>
  <c r="C563" i="34"/>
  <c r="B564" i="34"/>
  <c r="D562" i="34"/>
  <c r="E562" i="34" s="1"/>
  <c r="F562" i="34" l="1"/>
  <c r="C564" i="34"/>
  <c r="B565" i="34"/>
  <c r="D563" i="34"/>
  <c r="E563" i="34" s="1"/>
  <c r="F563" i="34" l="1"/>
  <c r="C565" i="34"/>
  <c r="B566" i="34"/>
  <c r="D564" i="34"/>
  <c r="E564" i="34" s="1"/>
  <c r="F564" i="34" l="1"/>
  <c r="C566" i="34"/>
  <c r="B567" i="34"/>
  <c r="D565" i="34"/>
  <c r="E565" i="34" s="1"/>
  <c r="F565" i="34" l="1"/>
  <c r="B568" i="34"/>
  <c r="C567" i="34"/>
  <c r="D566" i="34"/>
  <c r="E566" i="34" s="1"/>
  <c r="D567" i="34" l="1"/>
  <c r="E567" i="34" s="1"/>
  <c r="F566" i="34"/>
  <c r="C568" i="34"/>
  <c r="B569" i="34"/>
  <c r="F567" i="34" l="1"/>
  <c r="C569" i="34"/>
  <c r="B570" i="34"/>
  <c r="D568" i="34"/>
  <c r="E568" i="34" s="1"/>
  <c r="F568" i="34" s="1"/>
  <c r="C570" i="34" l="1"/>
  <c r="B571" i="34"/>
  <c r="D569" i="34"/>
  <c r="E569" i="34" s="1"/>
  <c r="F569" i="34" l="1"/>
  <c r="C571" i="34"/>
  <c r="B572" i="34"/>
  <c r="D570" i="34"/>
  <c r="E570" i="34" s="1"/>
  <c r="F570" i="34" l="1"/>
  <c r="C572" i="34"/>
  <c r="B573" i="34"/>
  <c r="D571" i="34"/>
  <c r="E571" i="34" s="1"/>
  <c r="F571" i="34" s="1"/>
  <c r="B574" i="34" l="1"/>
  <c r="C573" i="34"/>
  <c r="D572" i="34"/>
  <c r="E572" i="34" s="1"/>
  <c r="F572" i="34" l="1"/>
  <c r="D573" i="34"/>
  <c r="E573" i="34" s="1"/>
  <c r="B575" i="34"/>
  <c r="C574" i="34"/>
  <c r="F573" i="34" l="1"/>
  <c r="C575" i="34"/>
  <c r="B576" i="34"/>
  <c r="D574" i="34"/>
  <c r="E574" i="34" s="1"/>
  <c r="F574" i="34" l="1"/>
  <c r="C576" i="34"/>
  <c r="B577" i="34"/>
  <c r="D575" i="34"/>
  <c r="E575" i="34" s="1"/>
  <c r="F575" i="34" l="1"/>
  <c r="C577" i="34"/>
  <c r="B578" i="34"/>
  <c r="D576" i="34"/>
  <c r="E576" i="34" s="1"/>
  <c r="F576" i="34" l="1"/>
  <c r="C578" i="34"/>
  <c r="B579" i="34"/>
  <c r="D577" i="34"/>
  <c r="E577" i="34" s="1"/>
  <c r="F577" i="34" s="1"/>
  <c r="C579" i="34" l="1"/>
  <c r="B580" i="34"/>
  <c r="D578" i="34"/>
  <c r="E578" i="34" s="1"/>
  <c r="F578" i="34" l="1"/>
  <c r="B581" i="34"/>
  <c r="C580" i="34"/>
  <c r="D579" i="34"/>
  <c r="E579" i="34" s="1"/>
  <c r="F579" i="34" l="1"/>
  <c r="D580" i="34"/>
  <c r="E580" i="34" s="1"/>
  <c r="C581" i="34"/>
  <c r="B582" i="34"/>
  <c r="C582" i="34" l="1"/>
  <c r="B583" i="34"/>
  <c r="D581" i="34"/>
  <c r="E581" i="34" s="1"/>
  <c r="F581" i="34" s="1"/>
  <c r="F580" i="34"/>
  <c r="C583" i="34" l="1"/>
  <c r="B584" i="34"/>
  <c r="D582" i="34"/>
  <c r="E582" i="34" s="1"/>
  <c r="F582" i="34" l="1"/>
  <c r="B585" i="34"/>
  <c r="C584" i="34"/>
  <c r="D583" i="34"/>
  <c r="E583" i="34" s="1"/>
  <c r="D584" i="34" l="1"/>
  <c r="E584" i="34" s="1"/>
  <c r="F583" i="34"/>
  <c r="B586" i="34"/>
  <c r="C585" i="34"/>
  <c r="F584" i="34" l="1"/>
  <c r="D585" i="34"/>
  <c r="E585" i="34" s="1"/>
  <c r="C586" i="34"/>
  <c r="B587" i="34"/>
  <c r="D586" i="34" l="1"/>
  <c r="E586" i="34" s="1"/>
  <c r="F586" i="34" s="1"/>
  <c r="C587" i="34"/>
  <c r="B588" i="34"/>
  <c r="F585" i="34"/>
  <c r="D587" i="34" l="1"/>
  <c r="E587" i="34" s="1"/>
  <c r="C588" i="34"/>
  <c r="B589" i="34"/>
  <c r="D588" i="34" l="1"/>
  <c r="E588" i="34" s="1"/>
  <c r="F588" i="34" s="1"/>
  <c r="C589" i="34"/>
  <c r="B590" i="34"/>
  <c r="F587" i="34"/>
  <c r="C590" i="34" l="1"/>
  <c r="B591" i="34"/>
  <c r="D589" i="34"/>
  <c r="E589" i="34" s="1"/>
  <c r="F589" i="34" l="1"/>
  <c r="C591" i="34"/>
  <c r="B592" i="34"/>
  <c r="D590" i="34"/>
  <c r="E590" i="34" s="1"/>
  <c r="F590" i="34" l="1"/>
  <c r="C592" i="34"/>
  <c r="B593" i="34"/>
  <c r="D591" i="34"/>
  <c r="E591" i="34" s="1"/>
  <c r="F591" i="34" l="1"/>
  <c r="C593" i="34"/>
  <c r="B594" i="34"/>
  <c r="D592" i="34"/>
  <c r="E592" i="34" s="1"/>
  <c r="F592" i="34" l="1"/>
  <c r="C594" i="34"/>
  <c r="B595" i="34"/>
  <c r="D593" i="34"/>
  <c r="E593" i="34" s="1"/>
  <c r="F593" i="34" l="1"/>
  <c r="C595" i="34"/>
  <c r="B596" i="34"/>
  <c r="D594" i="34"/>
  <c r="E594" i="34" s="1"/>
  <c r="F594" i="34" l="1"/>
  <c r="B597" i="34"/>
  <c r="C596" i="34"/>
  <c r="D595" i="34"/>
  <c r="E595" i="34" s="1"/>
  <c r="F595" i="34" l="1"/>
  <c r="D596" i="34"/>
  <c r="E596" i="34" s="1"/>
  <c r="C597" i="34"/>
  <c r="B598" i="34"/>
  <c r="F596" i="34" l="1"/>
  <c r="C598" i="34"/>
  <c r="B599" i="34"/>
  <c r="D597" i="34"/>
  <c r="E597" i="34" s="1"/>
  <c r="F597" i="34" s="1"/>
  <c r="C599" i="34" l="1"/>
  <c r="B600" i="34"/>
  <c r="D598" i="34"/>
  <c r="E598" i="34" s="1"/>
  <c r="F598" i="34" s="1"/>
  <c r="C600" i="34" l="1"/>
  <c r="B601" i="34"/>
  <c r="D599" i="34"/>
  <c r="E599" i="34" s="1"/>
  <c r="F599" i="34" l="1"/>
  <c r="C601" i="34"/>
  <c r="B602" i="34"/>
  <c r="D600" i="34"/>
  <c r="E600" i="34" s="1"/>
  <c r="F600" i="34" l="1"/>
  <c r="C602" i="34"/>
  <c r="B603" i="34"/>
  <c r="D601" i="34"/>
  <c r="E601" i="34" s="1"/>
  <c r="F601" i="34" s="1"/>
  <c r="C603" i="34" l="1"/>
  <c r="B604" i="34"/>
  <c r="D602" i="34"/>
  <c r="E602" i="34" s="1"/>
  <c r="F602" i="34" l="1"/>
  <c r="C604" i="34"/>
  <c r="B605" i="34"/>
  <c r="D603" i="34"/>
  <c r="E603" i="34" s="1"/>
  <c r="C605" i="34" l="1"/>
  <c r="B606" i="34"/>
  <c r="F603" i="34"/>
  <c r="D604" i="34"/>
  <c r="E604" i="34" s="1"/>
  <c r="F604" i="34" l="1"/>
  <c r="C606" i="34"/>
  <c r="B607" i="34"/>
  <c r="D605" i="34"/>
  <c r="E605" i="34" s="1"/>
  <c r="F605" i="34" l="1"/>
  <c r="C607" i="34"/>
  <c r="B608" i="34"/>
  <c r="D606" i="34"/>
  <c r="E606" i="34" s="1"/>
  <c r="F606" i="34" l="1"/>
  <c r="C608" i="34"/>
  <c r="B609" i="34"/>
  <c r="D607" i="34"/>
  <c r="E607" i="34" s="1"/>
  <c r="C609" i="34" l="1"/>
  <c r="B610" i="34"/>
  <c r="C610" i="34" s="1"/>
  <c r="F607" i="34"/>
  <c r="D608" i="34"/>
  <c r="E608" i="34" s="1"/>
  <c r="F608" i="34" s="1"/>
  <c r="D610" i="34" l="1"/>
  <c r="E610" i="34" s="1"/>
  <c r="F610" i="34" s="1"/>
  <c r="D609" i="34"/>
  <c r="E609" i="34" s="1"/>
  <c r="F609" i="34" l="1"/>
  <c r="D18" i="38"/>
  <c r="D19" i="38"/>
  <c r="I10" i="2"/>
  <c r="J19" i="38" s="1"/>
  <c r="E5" i="34"/>
  <c r="D11" i="34" s="1"/>
  <c r="E11" i="34" s="1"/>
  <c r="B22" i="2" l="1"/>
  <c r="F11" i="34"/>
  <c r="C12" i="34" s="1"/>
  <c r="J18" i="38"/>
  <c r="F5" i="34"/>
  <c r="D12" i="34" l="1"/>
  <c r="E12" i="34" l="1"/>
  <c r="F12" i="34" l="1"/>
  <c r="C13" i="34" s="1"/>
  <c r="D13" i="34" l="1"/>
  <c r="E13" i="34" l="1"/>
  <c r="F13" i="34" s="1"/>
  <c r="C14" i="34" s="1"/>
  <c r="D14" i="34" l="1"/>
  <c r="E14" i="34" l="1"/>
  <c r="F14" i="34" l="1"/>
  <c r="C15" i="34" s="1"/>
  <c r="D15" i="34" l="1"/>
  <c r="E15" i="34" l="1"/>
  <c r="F15" i="34" s="1"/>
  <c r="C16" i="34" s="1"/>
  <c r="D16" i="34" l="1"/>
  <c r="E16" i="34" s="1"/>
  <c r="F16" i="34" s="1"/>
  <c r="C17" i="34" s="1"/>
  <c r="D17" i="34" l="1"/>
  <c r="E17" i="34" s="1"/>
  <c r="F17" i="34" s="1"/>
  <c r="C18" i="34" s="1"/>
  <c r="D18" i="34" l="1"/>
  <c r="E18" i="34" s="1"/>
  <c r="F18" i="34" l="1"/>
  <c r="C19" i="34" s="1"/>
  <c r="D19" i="34" l="1"/>
  <c r="E19" i="34" s="1"/>
  <c r="F19" i="34" l="1"/>
  <c r="C20" i="34" s="1"/>
  <c r="D20" i="34" l="1"/>
  <c r="E20" i="34" s="1"/>
  <c r="F20" i="34" s="1"/>
  <c r="C21" i="34" s="1"/>
  <c r="D21" i="34" l="1"/>
  <c r="E21" i="34" s="1"/>
  <c r="F21" i="34" l="1"/>
  <c r="C22" i="34" s="1"/>
  <c r="D22" i="34" l="1"/>
  <c r="E22" i="34" s="1"/>
  <c r="F22" i="34" s="1"/>
  <c r="C23" i="34" s="1"/>
  <c r="D23" i="34" l="1"/>
  <c r="E23" i="34" s="1"/>
  <c r="F23" i="34" s="1"/>
  <c r="C24" i="34" s="1"/>
  <c r="D24" i="34" l="1"/>
  <c r="E24" i="34" s="1"/>
  <c r="F24" i="34" s="1"/>
  <c r="C25" i="34" s="1"/>
  <c r="D25" i="34" l="1"/>
  <c r="E25" i="34" s="1"/>
  <c r="F25" i="34" s="1"/>
  <c r="C26" i="34" s="1"/>
  <c r="D26" i="34" l="1"/>
  <c r="E26" i="34" s="1"/>
  <c r="F26" i="34" s="1"/>
  <c r="C27" i="34" s="1"/>
  <c r="D27" i="34" l="1"/>
  <c r="E27" i="34" s="1"/>
  <c r="F27" i="34" l="1"/>
  <c r="C28" i="34" s="1"/>
  <c r="D28" i="34" l="1"/>
  <c r="E28" i="34" s="1"/>
  <c r="F28" i="34" s="1"/>
  <c r="C29" i="34" s="1"/>
  <c r="D29" i="34" l="1"/>
  <c r="E29" i="34" s="1"/>
  <c r="F29" i="34" l="1"/>
  <c r="C30" i="34" s="1"/>
  <c r="D30" i="34" s="1"/>
  <c r="E30" i="34" s="1"/>
  <c r="F30" i="34" l="1"/>
  <c r="C31" i="34" s="1"/>
  <c r="D31" i="34" l="1"/>
  <c r="E31" i="34" s="1"/>
  <c r="F31" i="34" s="1"/>
  <c r="C32" i="34" s="1"/>
  <c r="D32" i="34" l="1"/>
  <c r="E32" i="34" s="1"/>
  <c r="F32" i="34" s="1"/>
  <c r="C33" i="34" s="1"/>
  <c r="D33" i="34" l="1"/>
  <c r="E33" i="34" s="1"/>
  <c r="F33" i="34" l="1"/>
  <c r="C34" i="34" s="1"/>
  <c r="D34" i="34" l="1"/>
  <c r="E34" i="34" s="1"/>
  <c r="F34" i="34" l="1"/>
  <c r="C35" i="34" s="1"/>
  <c r="D35" i="34" l="1"/>
  <c r="E35" i="34" s="1"/>
  <c r="F35" i="34" s="1"/>
  <c r="C36" i="34" s="1"/>
  <c r="D36" i="34" l="1"/>
  <c r="E36" i="34" s="1"/>
  <c r="F36" i="34" s="1"/>
  <c r="C37" i="34" s="1"/>
  <c r="D37" i="34" l="1"/>
  <c r="E37" i="34" s="1"/>
  <c r="F37" i="34" s="1"/>
  <c r="C38" i="34" s="1"/>
  <c r="D38" i="34" l="1"/>
  <c r="E38" i="34" s="1"/>
  <c r="F38" i="34" l="1"/>
  <c r="C39" i="34" s="1"/>
  <c r="D39" i="34" l="1"/>
  <c r="E39" i="34" s="1"/>
  <c r="F39" i="34" s="1"/>
  <c r="C40" i="34" s="1"/>
  <c r="D40" i="34" l="1"/>
  <c r="E40" i="34" s="1"/>
  <c r="F40" i="34" s="1"/>
  <c r="C41" i="34" s="1"/>
  <c r="D41" i="34" l="1"/>
  <c r="E41" i="34" s="1"/>
  <c r="F41" i="34" s="1"/>
  <c r="C42" i="34" s="1"/>
  <c r="D42" i="34" l="1"/>
  <c r="E42" i="34" s="1"/>
  <c r="F42" i="34" l="1"/>
  <c r="C43" i="34" s="1"/>
  <c r="D43" i="34" l="1"/>
  <c r="E43" i="34" s="1"/>
  <c r="F43" i="34" l="1"/>
  <c r="C44" i="34" s="1"/>
  <c r="D44" i="34" l="1"/>
  <c r="E44" i="34" s="1"/>
  <c r="F44" i="34" s="1"/>
  <c r="C45" i="34" s="1"/>
  <c r="D45" i="34" l="1"/>
  <c r="E45" i="34" s="1"/>
  <c r="F45" i="34" l="1"/>
  <c r="C46" i="34" s="1"/>
  <c r="D46" i="34" l="1"/>
  <c r="E46" i="34" s="1"/>
  <c r="F46" i="34" s="1"/>
  <c r="C47" i="34" s="1"/>
  <c r="D47" i="34" l="1"/>
  <c r="E47" i="34" s="1"/>
  <c r="F47" i="34" l="1"/>
  <c r="C48" i="34" s="1"/>
  <c r="D48" i="34" l="1"/>
  <c r="E48" i="34" s="1"/>
  <c r="F48" i="34" s="1"/>
  <c r="C49" i="34" s="1"/>
  <c r="D49" i="34" l="1"/>
  <c r="E49" i="34" s="1"/>
  <c r="F49" i="34" l="1"/>
  <c r="C50" i="34" s="1"/>
  <c r="D50" i="34" l="1"/>
  <c r="E50" i="34" s="1"/>
  <c r="F50" i="34" s="1"/>
  <c r="C51" i="34" s="1"/>
  <c r="D51" i="34" l="1"/>
  <c r="E51" i="34" s="1"/>
  <c r="F51" i="34" l="1"/>
  <c r="C52" i="34" s="1"/>
  <c r="D52" i="34" s="1"/>
  <c r="E52" i="34" s="1"/>
  <c r="F52" i="34" l="1"/>
  <c r="C53" i="34" s="1"/>
  <c r="D53" i="34" s="1"/>
  <c r="E53" i="34" s="1"/>
  <c r="F53" i="34" l="1"/>
  <c r="C54" i="34" s="1"/>
  <c r="D54" i="34" l="1"/>
  <c r="E54" i="34" s="1"/>
  <c r="F54" i="34" l="1"/>
  <c r="C55" i="34" s="1"/>
  <c r="D55" i="34" s="1"/>
  <c r="E55" i="34" s="1"/>
  <c r="F55" i="34" l="1"/>
  <c r="C56" i="34" s="1"/>
  <c r="D56" i="34" s="1"/>
  <c r="E56" i="34" l="1"/>
  <c r="F56" i="34" s="1"/>
  <c r="C57" i="34" s="1"/>
  <c r="D57" i="34" s="1"/>
  <c r="E57" i="34" s="1"/>
  <c r="F57" i="34" l="1"/>
  <c r="C58" i="34" s="1"/>
  <c r="D58" i="34" l="1"/>
  <c r="E58" i="34" s="1"/>
  <c r="F58" i="34" l="1"/>
  <c r="C59" i="34" s="1"/>
  <c r="D59" i="34" l="1"/>
  <c r="E59" i="34" s="1"/>
  <c r="F59" i="34" l="1"/>
  <c r="C60" i="34" s="1"/>
  <c r="D60" i="34" l="1"/>
  <c r="E60" i="34" s="1"/>
  <c r="F60" i="34" s="1"/>
  <c r="C61" i="34" s="1"/>
  <c r="D61" i="34" l="1"/>
  <c r="E61" i="34" s="1"/>
  <c r="F61" i="34" l="1"/>
  <c r="C62" i="34" s="1"/>
  <c r="D62" i="34" s="1"/>
  <c r="E62" i="34" s="1"/>
  <c r="F62" i="34" l="1"/>
  <c r="C63" i="34" s="1"/>
  <c r="D63" i="34" s="1"/>
  <c r="E63" i="34" s="1"/>
  <c r="F63" i="34" s="1"/>
  <c r="C64" i="34" s="1"/>
  <c r="D64" i="34" l="1"/>
  <c r="E64" i="34" s="1"/>
  <c r="F64" i="34" l="1"/>
  <c r="C65" i="34" s="1"/>
  <c r="D65" i="34" s="1"/>
  <c r="E65" i="34" s="1"/>
  <c r="F65" i="34" l="1"/>
  <c r="C66" i="34" s="1"/>
  <c r="D66" i="34" l="1"/>
  <c r="E66" i="34" s="1"/>
  <c r="F66" i="34" l="1"/>
  <c r="C67" i="34" s="1"/>
  <c r="D67" i="34" l="1"/>
  <c r="E67" i="34" s="1"/>
  <c r="F67" i="34" l="1"/>
  <c r="C68" i="34" s="1"/>
  <c r="D68" i="34" s="1"/>
  <c r="E68" i="34" s="1"/>
  <c r="F68" i="34" l="1"/>
  <c r="C69" i="34" s="1"/>
  <c r="D69" i="34" s="1"/>
  <c r="E69" i="34" l="1"/>
  <c r="F69" i="34" s="1"/>
  <c r="C70" i="34" s="1"/>
  <c r="D70" i="34" s="1"/>
  <c r="E70" i="34" s="1"/>
  <c r="F70" i="34" l="1"/>
  <c r="C71" i="34" s="1"/>
  <c r="D71" i="34" s="1"/>
  <c r="E71" i="34" s="1"/>
  <c r="F71" i="34" s="1"/>
  <c r="C72" i="34" s="1"/>
  <c r="D72" i="34" l="1"/>
  <c r="E72" i="34" s="1"/>
  <c r="F72" i="34" l="1"/>
  <c r="C73" i="34" s="1"/>
  <c r="D73" i="34" l="1"/>
  <c r="E73" i="34" s="1"/>
  <c r="F73" i="34" s="1"/>
  <c r="C74" i="34" s="1"/>
  <c r="D74" i="34" l="1"/>
  <c r="E74" i="34" s="1"/>
  <c r="F74" i="34" l="1"/>
  <c r="C75" i="34" s="1"/>
  <c r="D75" i="34" l="1"/>
  <c r="E75" i="34" s="1"/>
  <c r="F75" i="34" l="1"/>
  <c r="C76" i="34" s="1"/>
  <c r="D76" i="34" s="1"/>
  <c r="E76" i="34" s="1"/>
  <c r="F76" i="34" l="1"/>
  <c r="C77" i="34" s="1"/>
  <c r="D77" i="34" l="1"/>
  <c r="E77" i="34" s="1"/>
  <c r="F77" i="34" l="1"/>
  <c r="C78" i="34" s="1"/>
  <c r="D78" i="34" s="1"/>
  <c r="E78" i="34" s="1"/>
  <c r="F78" i="34" l="1"/>
  <c r="C79" i="34" s="1"/>
  <c r="D79" i="34" s="1"/>
  <c r="E79" i="34" s="1"/>
  <c r="F79" i="34" l="1"/>
  <c r="C80" i="34" s="1"/>
  <c r="D80" i="34" s="1"/>
  <c r="E80" i="34" s="1"/>
  <c r="F80" i="34" l="1"/>
  <c r="C81" i="34" s="1"/>
  <c r="D81" i="34" l="1"/>
  <c r="E81" i="34" s="1"/>
  <c r="F81" i="34" l="1"/>
  <c r="C82" i="34" s="1"/>
  <c r="D82" i="34" s="1"/>
  <c r="E82" i="34" s="1"/>
  <c r="F82" i="34" s="1"/>
  <c r="C83" i="34" s="1"/>
  <c r="D83" i="34" l="1"/>
  <c r="E83" i="34" s="1"/>
  <c r="F83" i="34" s="1"/>
  <c r="C84" i="34" s="1"/>
  <c r="D84" i="34" l="1"/>
  <c r="E84" i="34" s="1"/>
  <c r="F84" i="34" s="1"/>
  <c r="C85" i="34" s="1"/>
  <c r="D85" i="34" l="1"/>
  <c r="E85" i="34" s="1"/>
  <c r="F85" i="34" l="1"/>
  <c r="C86" i="34" s="1"/>
  <c r="D86" i="34" l="1"/>
  <c r="E86" i="34" l="1"/>
  <c r="F86" i="34" s="1"/>
  <c r="C87" i="34" s="1"/>
  <c r="D87" i="34" s="1"/>
  <c r="E87" i="34" s="1"/>
  <c r="F87" i="34" s="1"/>
  <c r="C88" i="34" s="1"/>
  <c r="D88" i="34" l="1"/>
  <c r="E88" i="34" s="1"/>
  <c r="F88" i="34" l="1"/>
  <c r="C89" i="34" s="1"/>
  <c r="D89" i="34" s="1"/>
  <c r="E89" i="34" s="1"/>
  <c r="F89" i="34" l="1"/>
  <c r="C90" i="34" s="1"/>
  <c r="D90" i="34" s="1"/>
  <c r="E90" i="34" l="1"/>
  <c r="F90" i="34" s="1"/>
  <c r="C91" i="34" s="1"/>
  <c r="D91" i="34" s="1"/>
  <c r="E91" i="34" s="1"/>
  <c r="F91" i="34" s="1"/>
  <c r="C92" i="34" s="1"/>
  <c r="D92" i="34" s="1"/>
  <c r="E92" i="34" s="1"/>
  <c r="F92" i="34" s="1"/>
  <c r="C93" i="34" s="1"/>
  <c r="D93" i="34" l="1"/>
  <c r="E93" i="34" s="1"/>
  <c r="F93" i="34" s="1"/>
  <c r="C94" i="34" s="1"/>
  <c r="D94" i="34" l="1"/>
  <c r="E94" i="34" l="1"/>
  <c r="F94" i="34" l="1"/>
  <c r="C95" i="34" s="1"/>
  <c r="D95" i="34" l="1"/>
  <c r="E95" i="34" l="1"/>
  <c r="F95" i="34" l="1"/>
  <c r="C96" i="34" s="1"/>
  <c r="D96" i="34" l="1"/>
  <c r="E96" i="34" l="1"/>
  <c r="F96" i="34" l="1"/>
  <c r="C97" i="34" s="1"/>
  <c r="D97" i="34" l="1"/>
  <c r="E97" i="34" l="1"/>
  <c r="F97" i="34" l="1"/>
  <c r="C98" i="34" s="1"/>
  <c r="D98" i="34" l="1"/>
  <c r="E98" i="34" s="1"/>
  <c r="F98" i="34" s="1"/>
  <c r="C99" i="34" s="1"/>
  <c r="D99" i="34" l="1"/>
  <c r="E99" i="34" s="1"/>
  <c r="F99" i="34" s="1"/>
  <c r="C100" i="34" s="1"/>
  <c r="D100" i="34" l="1"/>
  <c r="E100" i="34" s="1"/>
  <c r="F100" i="34" s="1"/>
  <c r="C101" i="34" s="1"/>
  <c r="D101" i="34" l="1"/>
  <c r="E101" i="34" s="1"/>
  <c r="F101" i="34" s="1"/>
  <c r="C102" i="34" s="1"/>
  <c r="D102" i="34" l="1"/>
  <c r="E102" i="34" s="1"/>
  <c r="F102" i="34" l="1"/>
  <c r="C103" i="34" s="1"/>
  <c r="D103" i="34" s="1"/>
  <c r="E103" i="34" s="1"/>
  <c r="F103" i="34" s="1"/>
  <c r="C104" i="34" s="1"/>
  <c r="D104" i="34" l="1"/>
  <c r="E104" i="34" l="1"/>
  <c r="F104" i="34" s="1"/>
  <c r="C105" i="34" s="1"/>
  <c r="D105" i="34" s="1"/>
  <c r="E105" i="34" s="1"/>
  <c r="F105" i="34" s="1"/>
  <c r="C106" i="34" s="1"/>
  <c r="D106" i="34" l="1"/>
  <c r="E106" i="34" s="1"/>
  <c r="F106" i="34" l="1"/>
  <c r="C107" i="34" s="1"/>
  <c r="D107" i="34" s="1"/>
  <c r="E107" i="34" l="1"/>
  <c r="F107" i="34" s="1"/>
  <c r="C108" i="34" s="1"/>
  <c r="D108" i="34" s="1"/>
  <c r="E108" i="34" s="1"/>
  <c r="F108" i="34" l="1"/>
  <c r="C109" i="34" s="1"/>
  <c r="D109" i="34" s="1"/>
  <c r="E109" i="34" s="1"/>
  <c r="F109" i="34" l="1"/>
  <c r="C110" i="34" s="1"/>
  <c r="D110" i="34" s="1"/>
  <c r="E110" i="34" l="1"/>
  <c r="F110" i="34" s="1"/>
  <c r="C111" i="34" s="1"/>
  <c r="D111" i="34" s="1"/>
  <c r="E111" i="34" s="1"/>
  <c r="F111" i="34" l="1"/>
  <c r="C112" i="34" s="1"/>
  <c r="D112" i="34" s="1"/>
  <c r="E112" i="34" s="1"/>
  <c r="F112" i="34" l="1"/>
  <c r="C113" i="34" s="1"/>
  <c r="D113" i="34" s="1"/>
  <c r="E113" i="34" s="1"/>
  <c r="F113" i="34" s="1"/>
  <c r="C114" i="34" s="1"/>
  <c r="D114" i="34" s="1"/>
  <c r="E114" i="34" l="1"/>
  <c r="F114" i="34" s="1"/>
  <c r="C115" i="34" s="1"/>
  <c r="D115" i="34" s="1"/>
  <c r="E115" i="34" s="1"/>
  <c r="F115" i="34" l="1"/>
  <c r="C116" i="34" s="1"/>
  <c r="D116" i="34" s="1"/>
  <c r="E116" i="34" s="1"/>
  <c r="F116" i="34" s="1"/>
  <c r="C117" i="34" s="1"/>
  <c r="D117" i="34" s="1"/>
  <c r="E117" i="34" s="1"/>
  <c r="F117" i="34" s="1"/>
  <c r="C118" i="34" s="1"/>
  <c r="D118" i="34" s="1"/>
  <c r="E118" i="34" s="1"/>
  <c r="F118" i="34" l="1"/>
  <c r="C119" i="34" s="1"/>
  <c r="D119" i="34" s="1"/>
  <c r="E119" i="34" s="1"/>
  <c r="F119" i="34" l="1"/>
  <c r="C120" i="34" s="1"/>
  <c r="D120" i="34" s="1"/>
  <c r="E120" i="34" s="1"/>
  <c r="F120" i="34" l="1"/>
  <c r="C121" i="34" s="1"/>
  <c r="D121" i="34" s="1"/>
  <c r="E121" i="34" l="1"/>
  <c r="F121" i="34" s="1"/>
  <c r="C122" i="34" s="1"/>
  <c r="D122" i="34" s="1"/>
  <c r="E122" i="34" s="1"/>
  <c r="F122" i="34" s="1"/>
  <c r="C123" i="34" s="1"/>
  <c r="D123" i="34" s="1"/>
  <c r="E123" i="34" s="1"/>
  <c r="F123" i="34" l="1"/>
  <c r="C124" i="34" s="1"/>
  <c r="D124" i="34" s="1"/>
  <c r="E124" i="34" s="1"/>
  <c r="F124" i="34" s="1"/>
  <c r="C125" i="34" s="1"/>
  <c r="D125" i="34" l="1"/>
  <c r="E125" i="34" s="1"/>
  <c r="F125" i="34" l="1"/>
  <c r="C126" i="34" s="1"/>
  <c r="D126" i="34" s="1"/>
  <c r="E126" i="34" l="1"/>
  <c r="F126" i="34" s="1"/>
  <c r="C127" i="34" s="1"/>
  <c r="D127" i="34" s="1"/>
  <c r="E127" i="34" l="1"/>
  <c r="F127" i="34" s="1"/>
  <c r="C128" i="34" s="1"/>
  <c r="D128" i="34" s="1"/>
  <c r="E128" i="34" s="1"/>
  <c r="F128" i="34" l="1"/>
  <c r="C129" i="34" s="1"/>
  <c r="D129" i="34" s="1"/>
  <c r="E129" i="34" s="1"/>
  <c r="F129" i="34" l="1"/>
  <c r="C130" i="34" s="1"/>
  <c r="D130" i="34" s="1"/>
  <c r="E130" i="34" l="1"/>
  <c r="D611" i="34"/>
  <c r="E611" i="34" l="1"/>
  <c r="F611" i="34" s="1"/>
  <c r="F130" i="34"/>
</calcChain>
</file>

<file path=xl/sharedStrings.xml><?xml version="1.0" encoding="utf-8"?>
<sst xmlns="http://schemas.openxmlformats.org/spreadsheetml/2006/main" count="486" uniqueCount="190">
  <si>
    <t>Zins</t>
  </si>
  <si>
    <t>ZZr</t>
  </si>
  <si>
    <t>Rmz</t>
  </si>
  <si>
    <t>F</t>
  </si>
  <si>
    <t>BW</t>
  </si>
  <si>
    <t>Aktuelles Sparguthaben</t>
  </si>
  <si>
    <t>Zinssatz</t>
  </si>
  <si>
    <t>Laufzeit</t>
  </si>
  <si>
    <t>Sparleistung pro Periode</t>
  </si>
  <si>
    <t>Ende Periode = 0 / Anfang Periode = 1</t>
  </si>
  <si>
    <t>Sparplan (ZW)</t>
  </si>
  <si>
    <t>Sparplan (BW)</t>
  </si>
  <si>
    <t>ZW</t>
  </si>
  <si>
    <t>Sparplan (Rmz)</t>
  </si>
  <si>
    <t>Erreichtes Sparguthaben</t>
  </si>
  <si>
    <t>gewünschtes Sparguthaben</t>
  </si>
  <si>
    <t>Notwendiges aktuelles Sparguthaben</t>
  </si>
  <si>
    <t>notwendige Sparleistung pro Periode</t>
  </si>
  <si>
    <t>Sparplan (Zins)</t>
  </si>
  <si>
    <t>Sparplan (ZZr)</t>
  </si>
  <si>
    <t>Resultat</t>
  </si>
  <si>
    <t>Kunde:</t>
  </si>
  <si>
    <t>Zahlung + Tilgung</t>
  </si>
  <si>
    <t>Kreditbetrag</t>
  </si>
  <si>
    <t>Abschlusstilgung</t>
  </si>
  <si>
    <t>Kredit (ZW)</t>
  </si>
  <si>
    <t>Kredit (BW)</t>
  </si>
  <si>
    <t>Kredit (Rmz)</t>
  </si>
  <si>
    <t>Kredit (ZZr)</t>
  </si>
  <si>
    <t>Kredit (Zins)</t>
  </si>
  <si>
    <t>Jahreszinssatz</t>
  </si>
  <si>
    <t>Laufzeit in Jahren</t>
  </si>
  <si>
    <t>Betrag</t>
  </si>
  <si>
    <t>Zinsen</t>
  </si>
  <si>
    <t>Vor- bzw. nachschüssig</t>
  </si>
  <si>
    <t>Nr.</t>
  </si>
  <si>
    <t>Zahlung</t>
  </si>
  <si>
    <t>Gesamt</t>
  </si>
  <si>
    <t>Werte eingeben</t>
  </si>
  <si>
    <t>Darlehensbetrag</t>
  </si>
  <si>
    <t>Zinssatz p.a.</t>
  </si>
  <si>
    <t>Auszahlungstermin</t>
  </si>
  <si>
    <t>Zinsen gesamt</t>
  </si>
  <si>
    <t>Restschuld zu Monatsbeginn</t>
  </si>
  <si>
    <t>Tilgung</t>
  </si>
  <si>
    <t>Restschuld zu Monatsende</t>
  </si>
  <si>
    <t>Anweisungen</t>
  </si>
  <si>
    <t>Anzahl planmässiger Zahlungen</t>
  </si>
  <si>
    <t>Anzahl tatsächlicher Zahlungen</t>
  </si>
  <si>
    <t>Annuität</t>
  </si>
  <si>
    <t>Zahlung Gesamt-betrag</t>
  </si>
  <si>
    <t>Eingabe</t>
  </si>
  <si>
    <t>Peter Muster, Mustergasse 25, 3000 Bern</t>
  </si>
  <si>
    <t>Perioden/Inflation</t>
  </si>
  <si>
    <t>Inflation</t>
  </si>
  <si>
    <t xml:space="preserve">Perioden </t>
  </si>
  <si>
    <t xml:space="preserve">  monatlich</t>
  </si>
  <si>
    <t xml:space="preserve">  ¼-jährlich</t>
  </si>
  <si>
    <t xml:space="preserve">  ½-jährlich</t>
  </si>
  <si>
    <t xml:space="preserve">  jährlich</t>
  </si>
  <si>
    <t>Jahre</t>
  </si>
  <si>
    <t>Monate</t>
  </si>
  <si>
    <t xml:space="preserve">  Jahre</t>
  </si>
  <si>
    <t xml:space="preserve">  Monate</t>
  </si>
  <si>
    <t>Korrektur bei unpassenden Eingaben von Laufzeit und Zahlungsperioden</t>
  </si>
  <si>
    <t>Periode</t>
  </si>
  <si>
    <t>monatlich</t>
  </si>
  <si>
    <t>OK</t>
  </si>
  <si>
    <t>1/4jählich</t>
  </si>
  <si>
    <t>½-jährlich</t>
  </si>
  <si>
    <t>jährlich</t>
  </si>
  <si>
    <t>¼-/½- u. jährlich</t>
  </si>
  <si>
    <t>ZZR</t>
  </si>
  <si>
    <t>Resultat ohne Abschlusstilgung</t>
  </si>
  <si>
    <t>© MARCEL BOUVROT @ GLAUSER+PARTNER BERN</t>
  </si>
  <si>
    <t>Jahreszins</t>
  </si>
  <si>
    <t>Sparleistung</t>
  </si>
  <si>
    <t>Anfangskapital</t>
  </si>
  <si>
    <t>Zielsparbetrag</t>
  </si>
  <si>
    <t>Jahre/Monate</t>
  </si>
  <si>
    <t>M/¼/½/ J</t>
  </si>
  <si>
    <t>Vor- Nachschüssig</t>
  </si>
  <si>
    <t>Sparleistung jährlich</t>
  </si>
  <si>
    <t>Sparleistung ¼-jährlich</t>
  </si>
  <si>
    <t>Laufzeit in Monaten</t>
  </si>
  <si>
    <t>Sparleistung ½-jährlich</t>
  </si>
  <si>
    <t>Sparleistung monatlich</t>
  </si>
  <si>
    <t>Zahlung/Tilg</t>
  </si>
  <si>
    <t>Kredit</t>
  </si>
  <si>
    <t>Abschlusst.</t>
  </si>
  <si>
    <t>Z. o.AT</t>
  </si>
  <si>
    <t>Abschl. Tilg.</t>
  </si>
  <si>
    <t>Kaufkraftverlust pro Jahr</t>
  </si>
  <si>
    <t>Inflation Zins pro Jahr</t>
  </si>
  <si>
    <t>KK-Verlust</t>
  </si>
  <si>
    <t>Moneylandrechner</t>
  </si>
  <si>
    <t>Z-Rechner</t>
  </si>
  <si>
    <t>Resultate nach eff. Eingabe unter "Eingabe"</t>
  </si>
  <si>
    <t>ü</t>
  </si>
  <si>
    <t>Zinsgutschrift 1/4j</t>
  </si>
  <si>
    <t>Zinsgutschrift 1/2j</t>
  </si>
  <si>
    <t>Zinsgutschrift monatlich</t>
  </si>
  <si>
    <t>Restwert durch Kaufkraftverlust</t>
  </si>
  <si>
    <t>Zielsparbetrag als Barwert</t>
  </si>
  <si>
    <t>Hilfe</t>
  </si>
  <si>
    <t>S</t>
  </si>
  <si>
    <t>02. Setzen Sie die Ihnen bekannten Werte mit Ausnahme des gesuchten Wertes in die  Vorgabefelder. Ein Feld muss leer bleiben.</t>
  </si>
  <si>
    <t>K</t>
  </si>
  <si>
    <t xml:space="preserve">   können die Detailangaben unter «DETAILS» nicht mehr angezeigt werden.</t>
  </si>
  <si>
    <t>Muss zwischen 1 und 30 Jahren liegen.</t>
  </si>
  <si>
    <t>Feste monatliche Sondertilgung</t>
  </si>
  <si>
    <t>Zelle für bedingte Formatierung in Tabelle "Details"</t>
  </si>
  <si>
    <t>Notwendiges Kapital zur Erhaltung Kaufkraft</t>
  </si>
  <si>
    <t>Betrifft nur Inflationsberechnung beim Sparrechner:</t>
  </si>
  <si>
    <t>Sparplan (ZW) Restwert durch Kaufkraftverlust</t>
  </si>
  <si>
    <t>Sparplan (ZW) Notwendiges Kapital zur Erhaltung Kaufkraft</t>
  </si>
  <si>
    <t>Offene Eingabefelder</t>
  </si>
  <si>
    <t>Feste Sondertilgung</t>
  </si>
  <si>
    <t>Zahlungs-datum</t>
  </si>
  <si>
    <t xml:space="preserve"> Individuelle Sondertilgung </t>
  </si>
  <si>
    <t>Für neue Berechnungen nicht vergessen, die individuellen Sondertilgungen zu löschen!</t>
  </si>
  <si>
    <t>Individuelle Sondertilgungen direkt in die hellblaue Spalte eingeben.</t>
  </si>
  <si>
    <t>Regelmässige Zahlungen pro Monat</t>
  </si>
  <si>
    <t xml:space="preserve">   1/4-jährlich =  in Schritten von 3/6/9/12 Monaten usw., 1/2-jährlich = 6/12/18/24 usw., jährlich = 12/24/36 usw. Diese Vorgaben müssen Sie nur einhalten, wenn Sie eine absolut</t>
  </si>
  <si>
    <t xml:space="preserve">   dem Schieberegler entsprechend angezeigt. </t>
  </si>
  <si>
    <t xml:space="preserve">   eingeben, erhalten Sie den Restwert bei einer Entnahme aus einem Vermögen (Entnahmeplan).</t>
  </si>
  <si>
    <t xml:space="preserve">   Danach Blattschutz wieder aktivieren.</t>
  </si>
  <si>
    <t xml:space="preserve">   korrekte Darstellung unter «Details» wünschen, weil sonst  dort die Berechnungen auf volle Jahre gerundet werden. In der Eingabemaske sind die Resultate jedoch immer richtig.</t>
  </si>
  <si>
    <t xml:space="preserve">   Blattschutz (kein Passwort) aufheben, um die Darstellung auf ihrem PC anzupassen. Sie dürfen jedoch keine Zeilen oder Spalten einfügen und die Formeln in keinem Falle verändern. </t>
  </si>
  <si>
    <t>Kreditberechnung</t>
  </si>
  <si>
    <t xml:space="preserve">    beim Speichern unter... einen anderen Namen ein. Damit haben Sie immer noch die Originalversion zur Verfügung. Generell ist es empfehlenswert, den heruntergeladene </t>
  </si>
  <si>
    <t xml:space="preserve">       Zinsrechner nach dem ersten Öffnen unverändert unter einem anderen Namen zu speichern.</t>
  </si>
  <si>
    <r>
      <t xml:space="preserve">Sondertilgungen </t>
    </r>
    <r>
      <rPr>
        <b/>
        <sz val="10"/>
        <color rgb="FF000000"/>
        <rFont val="Century Gothic"/>
        <family val="2"/>
      </rPr>
      <t>gesamt</t>
    </r>
  </si>
  <si>
    <t>Speziell Konststellationen</t>
  </si>
  <si>
    <t>Zins-berechnen "Kreditrechner"</t>
  </si>
  <si>
    <t>1/4-jährlich</t>
  </si>
  <si>
    <t>1/2-jährlich</t>
  </si>
  <si>
    <t>1-2-jährlich</t>
  </si>
  <si>
    <t>Sparrechner für Entnahmeplan</t>
  </si>
  <si>
    <t>Moneyland</t>
  </si>
  <si>
    <t>Resultat Zinsperlode: jährlich</t>
  </si>
  <si>
    <t>Zinsauszahlungsperioden</t>
  </si>
  <si>
    <t>Analog Einzahlungen</t>
  </si>
  <si>
    <t>Ergebnis bei jährlicher Zinsauszahlung</t>
  </si>
  <si>
    <t>Einzahlungen Intervall</t>
  </si>
  <si>
    <t>Nachschüssig</t>
  </si>
  <si>
    <t>Vorschüssig</t>
  </si>
  <si>
    <t>Übertrg auf Mein Zinsrechner</t>
  </si>
  <si>
    <t>Eintrag mein Zinsrechner</t>
  </si>
  <si>
    <r>
      <t xml:space="preserve">Zahlungsfälligkeit Anfang oder Ende einer Periode:                                                     </t>
    </r>
    <r>
      <rPr>
        <b/>
        <sz val="9"/>
        <rFont val="Arial"/>
        <family val="2"/>
      </rPr>
      <t>0</t>
    </r>
    <r>
      <rPr>
        <sz val="9"/>
        <rFont val="Arial"/>
        <family val="2"/>
      </rPr>
      <t xml:space="preserve"> = Ende einer Periode,    </t>
    </r>
    <r>
      <rPr>
        <b/>
        <sz val="9"/>
        <rFont val="Arial"/>
        <family val="2"/>
      </rPr>
      <t>1</t>
    </r>
    <r>
      <rPr>
        <sz val="9"/>
        <rFont val="Arial"/>
        <family val="2"/>
      </rPr>
      <t xml:space="preserve"> = Anfang einer Periode</t>
    </r>
  </si>
  <si>
    <t>Input</t>
  </si>
  <si>
    <t>Definitionsbereich</t>
  </si>
  <si>
    <t>Beispiel</t>
  </si>
  <si>
    <t>Startbetrag</t>
  </si>
  <si>
    <t>1, 2, 3, 4, 6, 12</t>
  </si>
  <si>
    <t>Einzahlungsbetrag</t>
  </si>
  <si>
    <t>1, 2, 3, …</t>
  </si>
  <si>
    <t>Endkapital vorschüssig</t>
  </si>
  <si>
    <t>Endkapital nachschüssig</t>
  </si>
  <si>
    <t>Betrifft Zinnskorrektur auf "jährlich" bei verschiedenen Spar-Intervalle. Formel von Herrn O. Oeschger, Moneyland</t>
  </si>
  <si>
    <t>Zinsauszahlung</t>
  </si>
  <si>
    <t>Zins-GS</t>
  </si>
  <si>
    <t>1/4-järhlich</t>
  </si>
  <si>
    <t>1/2-Jährlich</t>
  </si>
  <si>
    <t>nachschüssig</t>
  </si>
  <si>
    <t>vorschüssig</t>
  </si>
  <si>
    <t>Inflation 3% N</t>
  </si>
  <si>
    <t>Inflation 3% V</t>
  </si>
  <si>
    <t>Kontrolle</t>
  </si>
  <si>
    <t>Einzahlungsintervall</t>
  </si>
  <si>
    <t>Moneyland-Resultate Zinsgutschrift jährlich</t>
  </si>
  <si>
    <t>Zins-GS/Ratenzahlung</t>
  </si>
  <si>
    <t>01. Wählen Sie entweder den Spar- oder den Kreditrechner, indem Sie in die rosa Zelle den Buchstaben S oder K eingeben.</t>
  </si>
  <si>
    <t xml:space="preserve">03. Bestimmen Sie den Zinsauszahlungstermin (monatlich, 1/4-jährlich, 1/2-jährlich, jährlich). Das heisst wann wird Ihnen der Zins (Bank) gutgeschrieben. </t>
  </si>
  <si>
    <t>04. Sofern die Einzahlungen zu Beginn einer Periode erfolgen, setzten Sie in das Feld 6 Eingabe den Wert 1.</t>
  </si>
  <si>
    <t>05. Wollen Sie variieren, übernehmen Sie das berechnete Resultat in das Eingabefeld und löschen eine andere  gesuchte Komponente.</t>
  </si>
  <si>
    <t>06. Sie können praktisch beliebige Zeiträume im Feld «Laufzeit» eingeben. Die Resultate in der Maske sind immer korrekt dargestellt. Wenn Sie jedoch gewisse Zeiträume überschreiten,</t>
  </si>
  <si>
    <t xml:space="preserve">07. Wenn Sie bei der «Laufzeit» die Periode «Monate» auswählen, sollten Sie im Feld «Laufzeit» folgende Anzahl an Monaten eingeben: Auswahl im Feld «Sparleistung oder Zahlung» </t>
  </si>
  <si>
    <t xml:space="preserve">08. Beim Sparrechner können Sie durch Eingabe einer Teuerungsrate den Kaufkraftverlust oder den Wert, welcher zur Erhaltung der Kaufkraft nötig ist feststellen. Die Werte werden mit </t>
  </si>
  <si>
    <t>09. Sofern Sie Kredite mit regelmässigen zusätzlichen Zahlungen oder Sondertilgungen berechnen wollen, starten Sie den Rechner «Kreditrechnung mit Sondertilgung».</t>
  </si>
  <si>
    <t xml:space="preserve">10. Sie können bei einem allfälligen Minuszins, beim Sparrechner ein Minuszeichen vor den Zinssatz eingeben. Wenn Sie zusätzlich ein Minuszeichen beim Wert im Feld «Sparleistung» </t>
  </si>
  <si>
    <t xml:space="preserve">11. Sollte die Darstellung des Zinsrechners auf ihrem Bildschirm nicht optimal sein, zoomen Sie entsprechend «Vergrössern» oder «Verkleinern». Langt das nicht, müssen Sie den </t>
  </si>
  <si>
    <t>12. Wir empfehlen, den Vorsorge- und Zinsrechner nach dem Beenden nicht zu speichern. Es sei denn, Sie haben die graphische Darstellung angepasst. In diesem Falle geben Sie</t>
  </si>
  <si>
    <t>© Marcel Bouvrot 2020 / Dez. 2022/ Mai 2023</t>
  </si>
  <si>
    <t>Auswahl Rechner "Eingabe" Zelle C7</t>
  </si>
  <si>
    <t>Mein Zinsrechner mit jährlicher Zinsgutschrift</t>
  </si>
  <si>
    <t>Jahre oder Monate</t>
  </si>
  <si>
    <t>www.moneyland.ch/de/rendite-rechner</t>
  </si>
  <si>
    <t>www.zinsen-berechnen.de/tilgungsrechner.php/</t>
  </si>
  <si>
    <t>www.zinsen-berechnen.de/sparrechner.php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</si>
</sst>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 * #,##0.00_ ;_ * \-#,##0.00_ ;_ * &quot;-&quot;??_ ;_ @_ "/>
    <numFmt numFmtId="164" formatCode="#,##0.00\ &quot;SFr.&quot;;[Red]\-#,##0.00\ &quot;SFr.&quot;"/>
    <numFmt numFmtId="165" formatCode="#,##0_ ;[Red]\-#,##0\ "/>
    <numFmt numFmtId="166" formatCode="0.000%"/>
    <numFmt numFmtId="167" formatCode="&quot;$&quot;#,##0.00_);\(&quot;$&quot;#,##0.00\)"/>
    <numFmt numFmtId="168" formatCode="_(&quot;$&quot;* #,##0.00_);_(&quot;$&quot;* \(#,##0.00\);_(&quot;$&quot;* &quot;-&quot;??_);_(@_)"/>
    <numFmt numFmtId="169" formatCode="#,##0.00_ ;[Red]\-#,##0.00\ "/>
    <numFmt numFmtId="170" formatCode="#,##0.000"/>
    <numFmt numFmtId="171" formatCode="_(* #,##0.00\ &quot;€&quot;_);_(* \(#,##0.00\ &quot;€&quot;\);_(* &quot;-&quot;??\ &quot;€&quot;_);_(@_)"/>
    <numFmt numFmtId="172" formatCode="#,##0.00000"/>
    <numFmt numFmtId="173" formatCode="0.00000"/>
    <numFmt numFmtId="174" formatCode="0.000%;[Red]\-0.000%"/>
    <numFmt numFmtId="175" formatCode="#,##0.0000000000000000"/>
    <numFmt numFmtId="176" formatCode="#,##0.00000000000000_ ;[Red]\-#,##0.00000000000000\ "/>
    <numFmt numFmtId="177" formatCode="0.00000%"/>
    <numFmt numFmtId="178" formatCode="#,##0.0000"/>
    <numFmt numFmtId="179" formatCode="_ * #,##0.000_ ;_ * \-#,##0.000_ ;_ * &quot;-&quot;??_ ;_ @_ "/>
    <numFmt numFmtId="180" formatCode="#,##0.000_ ;[Red]\-#,##0.000\ "/>
    <numFmt numFmtId="181" formatCode="#,##0.000_ ;\-#,##0.000\ "/>
    <numFmt numFmtId="182" formatCode="_ * #,##0.000000_ ;_ * \-#,##0.000000_ ;_ * &quot;-&quot;??_ ;_ @_ "/>
    <numFmt numFmtId="183" formatCode="#,##0_ ;\-#,##0\ "/>
    <numFmt numFmtId="184" formatCode="#,##0.00_ ;\-#,##0.00\ "/>
  </numFmts>
  <fonts count="49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Perpetua"/>
      <family val="2"/>
      <scheme val="minor"/>
    </font>
    <font>
      <sz val="11"/>
      <color theme="1"/>
      <name val="Perpetua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Century Gothic"/>
      <family val="2"/>
    </font>
    <font>
      <b/>
      <sz val="10"/>
      <color indexed="8"/>
      <name val="Century Gothic"/>
      <family val="2"/>
    </font>
    <font>
      <b/>
      <sz val="10"/>
      <name val="Century Gothic"/>
      <family val="2"/>
    </font>
    <font>
      <sz val="10"/>
      <color indexed="8"/>
      <name val="Century Gothic"/>
      <family val="2"/>
    </font>
    <font>
      <sz val="10"/>
      <color indexed="23"/>
      <name val="Century Gothic"/>
      <family val="2"/>
    </font>
    <font>
      <sz val="10"/>
      <color indexed="9"/>
      <name val="Century Gothic"/>
      <family val="2"/>
    </font>
    <font>
      <sz val="9"/>
      <color indexed="10"/>
      <name val="Arial"/>
      <family val="2"/>
    </font>
    <font>
      <b/>
      <sz val="12"/>
      <color indexed="8"/>
      <name val="Century Gothic"/>
      <family val="2"/>
    </font>
    <font>
      <sz val="10"/>
      <name val="Perpetua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0"/>
      <color theme="0"/>
      <name val="Arial"/>
      <family val="2"/>
    </font>
    <font>
      <b/>
      <sz val="9"/>
      <color rgb="FFFF0000"/>
      <name val="Arial"/>
      <family val="2"/>
    </font>
    <font>
      <sz val="8"/>
      <name val="Arial Narrow"/>
      <family val="2"/>
    </font>
    <font>
      <sz val="9"/>
      <name val="Wingdings"/>
      <charset val="2"/>
    </font>
    <font>
      <sz val="9"/>
      <name val="Arial Narrow"/>
      <family val="2"/>
    </font>
    <font>
      <sz val="8"/>
      <name val="Arial"/>
      <family val="2"/>
    </font>
    <font>
      <sz val="11"/>
      <color rgb="FFC00000"/>
      <name val="Arial"/>
      <family val="2"/>
    </font>
    <font>
      <b/>
      <sz val="9"/>
      <color rgb="FF465723"/>
      <name val="Arial"/>
      <family val="2"/>
    </font>
    <font>
      <sz val="11"/>
      <color theme="0"/>
      <name val="Perpetua"/>
      <family val="2"/>
      <scheme val="minor"/>
    </font>
    <font>
      <sz val="11"/>
      <color theme="0"/>
      <name val="Arial"/>
      <family val="2"/>
    </font>
    <font>
      <b/>
      <sz val="10"/>
      <color rgb="FF000000"/>
      <name val="Arial"/>
      <family val="2"/>
    </font>
    <font>
      <sz val="11"/>
      <color rgb="FF0000FF"/>
      <name val="Arial"/>
      <family val="2"/>
    </font>
    <font>
      <b/>
      <sz val="14"/>
      <color rgb="FF002060"/>
      <name val="Arial"/>
      <family val="2"/>
    </font>
    <font>
      <b/>
      <sz val="12"/>
      <color rgb="FFFFC000"/>
      <name val="Arial"/>
      <family val="2"/>
    </font>
    <font>
      <u/>
      <sz val="10"/>
      <color theme="10"/>
      <name val="Arial"/>
      <family val="2"/>
    </font>
    <font>
      <sz val="10"/>
      <color rgb="FF000000"/>
      <name val="Century Gothic"/>
      <family val="2"/>
    </font>
    <font>
      <b/>
      <sz val="10"/>
      <color rgb="FFFF0000"/>
      <name val="Century Gothic"/>
      <family val="2"/>
    </font>
    <font>
      <sz val="10"/>
      <color rgb="FFFF0000"/>
      <name val="Century Gothic"/>
      <family val="2"/>
    </font>
    <font>
      <b/>
      <sz val="10"/>
      <color rgb="FF000000"/>
      <name val="Century Gothic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u/>
      <sz val="10"/>
      <color theme="1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0000"/>
        <bgColor indexed="64"/>
      </patternFill>
    </fill>
    <fill>
      <gradientFill degree="45">
        <stop position="0">
          <color theme="0"/>
        </stop>
        <stop position="1">
          <color theme="5" tint="-0.25098422193060094"/>
        </stop>
      </gradient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gradientFill type="path" left="1" right="1">
        <stop position="0">
          <color theme="0"/>
        </stop>
        <stop position="1">
          <color theme="5" tint="-0.25098422193060094"/>
        </stop>
      </gradientFill>
    </fill>
    <fill>
      <patternFill patternType="solid">
        <fgColor theme="5"/>
      </patternFill>
    </fill>
    <fill>
      <patternFill patternType="solid">
        <fgColor rgb="FFCC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99"/>
        <bgColor indexed="26"/>
      </patternFill>
    </fill>
    <fill>
      <patternFill patternType="solid">
        <fgColor rgb="FFC4ADA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4D76B"/>
        <bgColor indexed="64"/>
      </patternFill>
    </fill>
    <fill>
      <patternFill patternType="solid">
        <fgColor rgb="FFFF5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6"/>
      </left>
      <right/>
      <top style="thin">
        <color indexed="46"/>
      </top>
      <bottom style="thin">
        <color indexed="46"/>
      </bottom>
      <diagonal/>
    </border>
    <border>
      <left style="thin">
        <color theme="9"/>
      </left>
      <right style="thin">
        <color theme="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9"/>
      </left>
      <right style="thin">
        <color theme="9"/>
      </right>
      <top style="thin">
        <color theme="0" tint="-0.34998626667073579"/>
      </top>
      <bottom/>
      <diagonal/>
    </border>
  </borders>
  <cellStyleXfs count="17">
    <xf numFmtId="0" fontId="0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22" fillId="0" borderId="0"/>
    <xf numFmtId="171" fontId="5" fillId="0" borderId="0" applyFont="0" applyFill="0" applyBorder="0" applyAlignment="0" applyProtection="0"/>
    <xf numFmtId="0" fontId="23" fillId="13" borderId="0" applyNumberFormat="0" applyBorder="0" applyAlignment="0" applyProtection="0"/>
    <xf numFmtId="0" fontId="24" fillId="11" borderId="16" applyNumberFormat="0" applyAlignment="0" applyProtection="0"/>
    <xf numFmtId="0" fontId="25" fillId="12" borderId="16" applyNumberFormat="0" applyAlignment="0" applyProtection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0" fontId="2" fillId="0" borderId="0"/>
    <xf numFmtId="0" fontId="32" fillId="24" borderId="17">
      <alignment horizontal="center" vertical="center" wrapText="1"/>
      <protection locked="0"/>
    </xf>
    <xf numFmtId="0" fontId="34" fillId="25" borderId="18" applyFont="0" applyFill="0" applyBorder="0" applyAlignment="0" applyProtection="0">
      <alignment horizontal="left" vertical="center"/>
      <protection locked="0"/>
    </xf>
    <xf numFmtId="0" fontId="35" fillId="25" borderId="0" applyBorder="0" applyAlignment="0" applyProtection="0">
      <alignment horizontal="left" vertical="center"/>
      <protection locked="0"/>
    </xf>
    <xf numFmtId="0" fontId="40" fillId="0" borderId="0" applyNumberFormat="0" applyFill="0" applyBorder="0" applyAlignment="0" applyProtection="0"/>
    <xf numFmtId="43" fontId="45" fillId="0" borderId="0" applyFont="0" applyFill="0" applyBorder="0" applyAlignment="0" applyProtection="0"/>
  </cellStyleXfs>
  <cellXfs count="336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3" borderId="2" xfId="0" applyFill="1" applyBorder="1"/>
    <xf numFmtId="0" fontId="0" fillId="3" borderId="3" xfId="0" applyFill="1" applyBorder="1"/>
    <xf numFmtId="0" fontId="0" fillId="3" borderId="0" xfId="0" applyFill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7" fillId="3" borderId="7" xfId="0" applyFont="1" applyFill="1" applyBorder="1" applyAlignment="1">
      <alignment vertical="center"/>
    </xf>
    <xf numFmtId="0" fontId="5" fillId="3" borderId="1" xfId="1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left" indent="2"/>
    </xf>
    <xf numFmtId="0" fontId="10" fillId="3" borderId="3" xfId="0" applyFont="1" applyFill="1" applyBorder="1"/>
    <xf numFmtId="0" fontId="0" fillId="0" borderId="0" xfId="0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1" fontId="7" fillId="5" borderId="1" xfId="0" applyNumberFormat="1" applyFont="1" applyFill="1" applyBorder="1" applyAlignment="1" applyProtection="1">
      <alignment horizontal="left" vertical="center"/>
      <protection hidden="1"/>
    </xf>
    <xf numFmtId="0" fontId="6" fillId="5" borderId="8" xfId="0" applyFont="1" applyFill="1" applyBorder="1" applyAlignment="1" applyProtection="1">
      <alignment horizontal="left" vertical="center"/>
      <protection hidden="1"/>
    </xf>
    <xf numFmtId="0" fontId="6" fillId="5" borderId="10" xfId="0" applyFont="1" applyFill="1" applyBorder="1" applyAlignment="1" applyProtection="1">
      <alignment horizontal="left" vertical="center"/>
      <protection hidden="1"/>
    </xf>
    <xf numFmtId="0" fontId="9" fillId="5" borderId="1" xfId="0" applyFont="1" applyFill="1" applyBorder="1" applyAlignment="1" applyProtection="1">
      <alignment horizontal="center" vertical="center"/>
      <protection hidden="1"/>
    </xf>
    <xf numFmtId="3" fontId="5" fillId="3" borderId="1" xfId="0" applyNumberFormat="1" applyFont="1" applyFill="1" applyBorder="1" applyAlignment="1" applyProtection="1">
      <alignment horizontal="center" vertical="center"/>
      <protection hidden="1"/>
    </xf>
    <xf numFmtId="3" fontId="5" fillId="6" borderId="1" xfId="0" applyNumberFormat="1" applyFont="1" applyFill="1" applyBorder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3" fontId="6" fillId="0" borderId="0" xfId="0" applyNumberFormat="1" applyFo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1" fillId="5" borderId="0" xfId="0" applyFont="1" applyFill="1"/>
    <xf numFmtId="0" fontId="11" fillId="5" borderId="4" xfId="0" applyFont="1" applyFill="1" applyBorder="1"/>
    <xf numFmtId="1" fontId="9" fillId="5" borderId="1" xfId="0" applyNumberFormat="1" applyFont="1" applyFill="1" applyBorder="1" applyAlignment="1" applyProtection="1">
      <alignment horizontal="center" vertical="center" wrapText="1"/>
      <protection hidden="1"/>
    </xf>
    <xf numFmtId="3" fontId="9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1" xfId="0" applyFont="1" applyFill="1" applyBorder="1" applyAlignment="1" applyProtection="1">
      <alignment horizontal="center" vertical="center" wrapText="1"/>
      <protection hidden="1"/>
    </xf>
    <xf numFmtId="4" fontId="14" fillId="7" borderId="11" xfId="0" applyNumberFormat="1" applyFont="1" applyFill="1" applyBorder="1" applyAlignment="1" applyProtection="1">
      <alignment horizontal="right"/>
      <protection locked="0"/>
    </xf>
    <xf numFmtId="10" fontId="14" fillId="7" borderId="11" xfId="0" applyNumberFormat="1" applyFont="1" applyFill="1" applyBorder="1" applyAlignment="1" applyProtection="1">
      <alignment horizontal="right"/>
      <protection locked="0"/>
    </xf>
    <xf numFmtId="0" fontId="14" fillId="7" borderId="11" xfId="0" applyFont="1" applyFill="1" applyBorder="1" applyAlignment="1" applyProtection="1">
      <alignment horizontal="right"/>
      <protection locked="0"/>
    </xf>
    <xf numFmtId="14" fontId="14" fillId="7" borderId="11" xfId="0" applyNumberFormat="1" applyFont="1" applyFill="1" applyBorder="1" applyAlignment="1" applyProtection="1">
      <alignment horizontal="right"/>
      <protection locked="0"/>
    </xf>
    <xf numFmtId="4" fontId="19" fillId="0" borderId="0" xfId="2" applyNumberFormat="1" applyFont="1" applyFill="1" applyBorder="1" applyAlignment="1" applyProtection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13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13" xfId="0" applyFont="1" applyBorder="1" applyAlignment="1">
      <alignment horizontal="left"/>
    </xf>
    <xf numFmtId="0" fontId="17" fillId="0" borderId="0" xfId="0" applyFont="1"/>
    <xf numFmtId="10" fontId="18" fillId="0" borderId="0" xfId="0" applyNumberFormat="1" applyFont="1" applyAlignment="1">
      <alignment horizontal="left"/>
    </xf>
    <xf numFmtId="10" fontId="14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7" fillId="0" borderId="0" xfId="0" applyFont="1" applyAlignment="1">
      <alignment vertical="top"/>
    </xf>
    <xf numFmtId="14" fontId="14" fillId="0" borderId="0" xfId="0" applyNumberFormat="1" applyFont="1" applyAlignment="1">
      <alignment horizontal="left"/>
    </xf>
    <xf numFmtId="4" fontId="14" fillId="0" borderId="0" xfId="2" applyNumberFormat="1" applyFont="1" applyFill="1" applyBorder="1" applyAlignment="1" applyProtection="1">
      <alignment horizontal="right"/>
    </xf>
    <xf numFmtId="0" fontId="14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wrapText="1"/>
    </xf>
    <xf numFmtId="0" fontId="0" fillId="0" borderId="0" xfId="0" applyAlignment="1" applyProtection="1">
      <alignment horizontal="right" vertical="top"/>
      <protection hidden="1"/>
    </xf>
    <xf numFmtId="10" fontId="0" fillId="0" borderId="0" xfId="0" applyNumberFormat="1" applyAlignment="1" applyProtection="1">
      <alignment horizontal="center" vertical="top"/>
      <protection hidden="1"/>
    </xf>
    <xf numFmtId="0" fontId="13" fillId="0" borderId="0" xfId="0" applyFont="1"/>
    <xf numFmtId="0" fontId="13" fillId="5" borderId="0" xfId="0" applyFont="1" applyFill="1"/>
    <xf numFmtId="4" fontId="13" fillId="0" borderId="0" xfId="0" applyNumberFormat="1" applyFont="1"/>
    <xf numFmtId="10" fontId="13" fillId="3" borderId="0" xfId="0" applyNumberFormat="1" applyFont="1" applyFill="1"/>
    <xf numFmtId="4" fontId="13" fillId="3" borderId="0" xfId="0" applyNumberFormat="1" applyFont="1" applyFill="1"/>
    <xf numFmtId="0" fontId="13" fillId="3" borderId="0" xfId="0" applyFont="1" applyFill="1"/>
    <xf numFmtId="3" fontId="13" fillId="3" borderId="0" xfId="0" applyNumberFormat="1" applyFont="1" applyFill="1"/>
    <xf numFmtId="10" fontId="13" fillId="9" borderId="0" xfId="0" applyNumberFormat="1" applyFont="1" applyFill="1"/>
    <xf numFmtId="4" fontId="13" fillId="9" borderId="0" xfId="0" applyNumberFormat="1" applyFont="1" applyFill="1"/>
    <xf numFmtId="0" fontId="13" fillId="9" borderId="0" xfId="0" applyFont="1" applyFill="1"/>
    <xf numFmtId="3" fontId="13" fillId="9" borderId="0" xfId="0" applyNumberFormat="1" applyFont="1" applyFill="1"/>
    <xf numFmtId="10" fontId="13" fillId="0" borderId="0" xfId="0" applyNumberFormat="1" applyFont="1"/>
    <xf numFmtId="3" fontId="13" fillId="0" borderId="0" xfId="0" applyNumberFormat="1" applyFont="1"/>
    <xf numFmtId="0" fontId="8" fillId="0" borderId="0" xfId="0" applyFont="1"/>
    <xf numFmtId="0" fontId="9" fillId="4" borderId="1" xfId="0" applyFont="1" applyFill="1" applyBorder="1" applyAlignment="1">
      <alignment horizontal="center" vertical="center" wrapText="1"/>
    </xf>
    <xf numFmtId="3" fontId="26" fillId="3" borderId="3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horizontal="left" vertical="center" indent="1"/>
    </xf>
    <xf numFmtId="10" fontId="13" fillId="16" borderId="0" xfId="0" applyNumberFormat="1" applyFont="1" applyFill="1"/>
    <xf numFmtId="4" fontId="13" fillId="16" borderId="0" xfId="0" applyNumberFormat="1" applyFont="1" applyFill="1"/>
    <xf numFmtId="0" fontId="13" fillId="16" borderId="0" xfId="0" applyFont="1" applyFill="1"/>
    <xf numFmtId="3" fontId="13" fillId="16" borderId="0" xfId="0" applyNumberFormat="1" applyFont="1" applyFill="1"/>
    <xf numFmtId="0" fontId="8" fillId="17" borderId="0" xfId="0" applyFont="1" applyFill="1"/>
    <xf numFmtId="0" fontId="28" fillId="17" borderId="0" xfId="0" applyFont="1" applyFill="1"/>
    <xf numFmtId="172" fontId="13" fillId="3" borderId="0" xfId="0" applyNumberFormat="1" applyFont="1" applyFill="1"/>
    <xf numFmtId="172" fontId="13" fillId="16" borderId="0" xfId="0" applyNumberFormat="1" applyFont="1" applyFill="1"/>
    <xf numFmtId="172" fontId="13" fillId="0" borderId="0" xfId="0" applyNumberFormat="1" applyFont="1"/>
    <xf numFmtId="172" fontId="13" fillId="5" borderId="0" xfId="0" applyNumberFormat="1" applyFont="1" applyFill="1"/>
    <xf numFmtId="172" fontId="13" fillId="9" borderId="0" xfId="0" applyNumberFormat="1" applyFont="1" applyFill="1"/>
    <xf numFmtId="166" fontId="13" fillId="3" borderId="0" xfId="0" applyNumberFormat="1" applyFont="1" applyFill="1"/>
    <xf numFmtId="166" fontId="13" fillId="16" borderId="0" xfId="0" applyNumberFormat="1" applyFont="1" applyFill="1"/>
    <xf numFmtId="166" fontId="13" fillId="0" borderId="0" xfId="0" applyNumberFormat="1" applyFont="1"/>
    <xf numFmtId="166" fontId="13" fillId="5" borderId="0" xfId="0" applyNumberFormat="1" applyFont="1" applyFill="1"/>
    <xf numFmtId="166" fontId="13" fillId="9" borderId="0" xfId="0" applyNumberFormat="1" applyFont="1" applyFill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3" borderId="0" xfId="0" applyFont="1" applyFill="1"/>
    <xf numFmtId="0" fontId="8" fillId="18" borderId="0" xfId="0" applyFont="1" applyFill="1"/>
    <xf numFmtId="166" fontId="8" fillId="0" borderId="0" xfId="0" applyNumberFormat="1" applyFont="1"/>
    <xf numFmtId="169" fontId="8" fillId="0" borderId="0" xfId="0" applyNumberFormat="1" applyFont="1"/>
    <xf numFmtId="169" fontId="20" fillId="0" borderId="0" xfId="0" applyNumberFormat="1" applyFont="1" applyAlignment="1">
      <alignment wrapText="1"/>
    </xf>
    <xf numFmtId="165" fontId="8" fillId="0" borderId="0" xfId="0" applyNumberFormat="1" applyFont="1"/>
    <xf numFmtId="2" fontId="8" fillId="0" borderId="0" xfId="0" applyNumberFormat="1" applyFont="1"/>
    <xf numFmtId="3" fontId="8" fillId="0" borderId="0" xfId="0" applyNumberFormat="1" applyFont="1"/>
    <xf numFmtId="4" fontId="8" fillId="0" borderId="0" xfId="0" applyNumberFormat="1" applyFont="1"/>
    <xf numFmtId="169" fontId="8" fillId="2" borderId="0" xfId="0" applyNumberFormat="1" applyFont="1" applyFill="1"/>
    <xf numFmtId="165" fontId="8" fillId="2" borderId="0" xfId="0" applyNumberFormat="1" applyFont="1" applyFill="1"/>
    <xf numFmtId="0" fontId="9" fillId="0" borderId="0" xfId="0" applyFont="1"/>
    <xf numFmtId="9" fontId="9" fillId="0" borderId="0" xfId="0" applyNumberFormat="1" applyFont="1"/>
    <xf numFmtId="0" fontId="8" fillId="2" borderId="0" xfId="0" applyFont="1" applyFill="1"/>
    <xf numFmtId="2" fontId="8" fillId="2" borderId="0" xfId="0" applyNumberFormat="1" applyFont="1" applyFill="1"/>
    <xf numFmtId="166" fontId="8" fillId="19" borderId="0" xfId="0" applyNumberFormat="1" applyFont="1" applyFill="1"/>
    <xf numFmtId="0" fontId="8" fillId="8" borderId="8" xfId="0" applyFont="1" applyFill="1" applyBorder="1"/>
    <xf numFmtId="0" fontId="8" fillId="8" borderId="1" xfId="0" applyFont="1" applyFill="1" applyBorder="1"/>
    <xf numFmtId="166" fontId="8" fillId="2" borderId="0" xfId="0" applyNumberFormat="1" applyFont="1" applyFill="1"/>
    <xf numFmtId="169" fontId="8" fillId="19" borderId="0" xfId="0" applyNumberFormat="1" applyFont="1" applyFill="1"/>
    <xf numFmtId="0" fontId="8" fillId="10" borderId="1" xfId="0" applyFont="1" applyFill="1" applyBorder="1"/>
    <xf numFmtId="3" fontId="8" fillId="10" borderId="1" xfId="0" applyNumberFormat="1" applyFont="1" applyFill="1" applyBorder="1"/>
    <xf numFmtId="4" fontId="8" fillId="10" borderId="1" xfId="0" applyNumberFormat="1" applyFont="1" applyFill="1" applyBorder="1"/>
    <xf numFmtId="169" fontId="8" fillId="21" borderId="1" xfId="0" applyNumberFormat="1" applyFont="1" applyFill="1" applyBorder="1"/>
    <xf numFmtId="10" fontId="8" fillId="10" borderId="1" xfId="0" applyNumberFormat="1" applyFont="1" applyFill="1" applyBorder="1"/>
    <xf numFmtId="0" fontId="8" fillId="20" borderId="1" xfId="0" applyFont="1" applyFill="1" applyBorder="1"/>
    <xf numFmtId="166" fontId="8" fillId="20" borderId="1" xfId="0" applyNumberFormat="1" applyFont="1" applyFill="1" applyBorder="1"/>
    <xf numFmtId="2" fontId="8" fillId="20" borderId="1" xfId="0" applyNumberFormat="1" applyFont="1" applyFill="1" applyBorder="1"/>
    <xf numFmtId="3" fontId="8" fillId="20" borderId="1" xfId="0" applyNumberFormat="1" applyFont="1" applyFill="1" applyBorder="1"/>
    <xf numFmtId="4" fontId="8" fillId="20" borderId="1" xfId="0" applyNumberFormat="1" applyFont="1" applyFill="1" applyBorder="1"/>
    <xf numFmtId="0" fontId="8" fillId="0" borderId="0" xfId="0" applyFont="1" applyAlignment="1">
      <alignment horizontal="left" indent="4"/>
    </xf>
    <xf numFmtId="0" fontId="0" fillId="23" borderId="0" xfId="0" applyFill="1"/>
    <xf numFmtId="0" fontId="7" fillId="23" borderId="0" xfId="0" applyFont="1" applyFill="1"/>
    <xf numFmtId="0" fontId="0" fillId="23" borderId="0" xfId="0" applyFill="1" applyAlignment="1">
      <alignment horizontal="left"/>
    </xf>
    <xf numFmtId="173" fontId="0" fillId="23" borderId="0" xfId="0" applyNumberFormat="1" applyFill="1"/>
    <xf numFmtId="0" fontId="0" fillId="23" borderId="2" xfId="0" applyFill="1" applyBorder="1"/>
    <xf numFmtId="2" fontId="0" fillId="23" borderId="0" xfId="0" applyNumberFormat="1" applyFill="1"/>
    <xf numFmtId="3" fontId="0" fillId="23" borderId="0" xfId="0" applyNumberFormat="1" applyFill="1"/>
    <xf numFmtId="1" fontId="0" fillId="23" borderId="0" xfId="0" applyNumberFormat="1" applyFill="1"/>
    <xf numFmtId="1" fontId="5" fillId="23" borderId="0" xfId="0" applyNumberFormat="1" applyFont="1" applyFill="1"/>
    <xf numFmtId="174" fontId="5" fillId="3" borderId="1" xfId="1" applyNumberFormat="1" applyFont="1" applyFill="1" applyBorder="1" applyAlignment="1" applyProtection="1">
      <alignment horizontal="center" vertical="center"/>
      <protection hidden="1"/>
    </xf>
    <xf numFmtId="165" fontId="5" fillId="3" borderId="1" xfId="0" applyNumberFormat="1" applyFont="1" applyFill="1" applyBorder="1" applyAlignment="1" applyProtection="1">
      <alignment horizontal="center" vertical="center"/>
      <protection hidden="1"/>
    </xf>
    <xf numFmtId="165" fontId="5" fillId="6" borderId="1" xfId="0" applyNumberFormat="1" applyFont="1" applyFill="1" applyBorder="1" applyAlignment="1" applyProtection="1">
      <alignment horizontal="center" vertical="center"/>
      <protection hidden="1"/>
    </xf>
    <xf numFmtId="174" fontId="5" fillId="6" borderId="1" xfId="1" applyNumberFormat="1" applyFont="1" applyFill="1" applyBorder="1" applyAlignment="1" applyProtection="1">
      <alignment horizontal="center" vertical="center"/>
      <protection hidden="1"/>
    </xf>
    <xf numFmtId="2" fontId="0" fillId="0" borderId="0" xfId="0" applyNumberFormat="1"/>
    <xf numFmtId="165" fontId="6" fillId="3" borderId="1" xfId="0" applyNumberFormat="1" applyFont="1" applyFill="1" applyBorder="1" applyAlignment="1" applyProtection="1">
      <alignment horizontal="center" vertical="center"/>
      <protection hidden="1"/>
    </xf>
    <xf numFmtId="165" fontId="6" fillId="6" borderId="1" xfId="0" applyNumberFormat="1" applyFont="1" applyFill="1" applyBorder="1" applyAlignment="1" applyProtection="1">
      <alignment horizontal="center" vertical="center"/>
      <protection hidden="1"/>
    </xf>
    <xf numFmtId="0" fontId="0" fillId="22" borderId="0" xfId="0" applyFill="1"/>
    <xf numFmtId="3" fontId="4" fillId="0" borderId="19" xfId="0" applyNumberFormat="1" applyFont="1" applyBorder="1" applyAlignment="1" applyProtection="1">
      <alignment horizontal="center"/>
      <protection hidden="1"/>
    </xf>
    <xf numFmtId="3" fontId="4" fillId="0" borderId="19" xfId="0" applyNumberFormat="1" applyFont="1" applyBorder="1" applyProtection="1">
      <protection hidden="1"/>
    </xf>
    <xf numFmtId="0" fontId="6" fillId="4" borderId="10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4" fillId="26" borderId="1" xfId="1" applyNumberFormat="1" applyFont="1" applyFill="1" applyBorder="1" applyAlignment="1" applyProtection="1">
      <alignment vertical="center"/>
    </xf>
    <xf numFmtId="0" fontId="5" fillId="4" borderId="8" xfId="0" applyFont="1" applyFill="1" applyBorder="1" applyAlignment="1">
      <alignment vertical="center"/>
    </xf>
    <xf numFmtId="0" fontId="5" fillId="26" borderId="1" xfId="0" applyFont="1" applyFill="1" applyBorder="1" applyAlignment="1">
      <alignment vertical="center"/>
    </xf>
    <xf numFmtId="0" fontId="4" fillId="3" borderId="8" xfId="1" applyNumberFormat="1" applyFont="1" applyFill="1" applyBorder="1" applyAlignment="1" applyProtection="1">
      <alignment vertical="center"/>
    </xf>
    <xf numFmtId="0" fontId="8" fillId="27" borderId="0" xfId="0" applyFont="1" applyFill="1"/>
    <xf numFmtId="0" fontId="9" fillId="3" borderId="8" xfId="1" applyNumberFormat="1" applyFont="1" applyFill="1" applyBorder="1" applyAlignment="1" applyProtection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10" fontId="9" fillId="28" borderId="1" xfId="0" applyNumberFormat="1" applyFont="1" applyFill="1" applyBorder="1" applyAlignment="1" applyProtection="1">
      <alignment horizontal="center" vertical="center"/>
      <protection locked="0"/>
    </xf>
    <xf numFmtId="0" fontId="39" fillId="29" borderId="1" xfId="0" applyFont="1" applyFill="1" applyBorder="1" applyAlignment="1" applyProtection="1">
      <alignment horizontal="center" vertical="center"/>
      <protection locked="0"/>
    </xf>
    <xf numFmtId="0" fontId="4" fillId="30" borderId="1" xfId="0" applyFont="1" applyFill="1" applyBorder="1" applyAlignment="1">
      <alignment horizontal="center" vertical="center"/>
    </xf>
    <xf numFmtId="0" fontId="0" fillId="30" borderId="0" xfId="0" applyFill="1"/>
    <xf numFmtId="1" fontId="6" fillId="30" borderId="8" xfId="0" applyNumberFormat="1" applyFont="1" applyFill="1" applyBorder="1" applyAlignment="1" applyProtection="1">
      <alignment horizontal="left" vertical="center"/>
      <protection hidden="1"/>
    </xf>
    <xf numFmtId="0" fontId="0" fillId="30" borderId="10" xfId="0" applyFill="1" applyBorder="1"/>
    <xf numFmtId="0" fontId="6" fillId="30" borderId="10" xfId="0" applyFont="1" applyFill="1" applyBorder="1" applyAlignment="1">
      <alignment horizontal="left" vertical="center"/>
    </xf>
    <xf numFmtId="1" fontId="5" fillId="26" borderId="8" xfId="0" applyNumberFormat="1" applyFont="1" applyFill="1" applyBorder="1" applyAlignment="1" applyProtection="1">
      <alignment horizontal="left" vertical="center"/>
      <protection hidden="1"/>
    </xf>
    <xf numFmtId="0" fontId="5" fillId="26" borderId="10" xfId="0" applyFont="1" applyFill="1" applyBorder="1" applyAlignment="1" applyProtection="1">
      <alignment vertical="center"/>
      <protection hidden="1"/>
    </xf>
    <xf numFmtId="0" fontId="5" fillId="26" borderId="14" xfId="0" applyFont="1" applyFill="1" applyBorder="1" applyAlignment="1" applyProtection="1">
      <alignment vertical="center"/>
      <protection hidden="1"/>
    </xf>
    <xf numFmtId="1" fontId="5" fillId="26" borderId="9" xfId="0" applyNumberFormat="1" applyFont="1" applyFill="1" applyBorder="1" applyAlignment="1" applyProtection="1">
      <alignment horizontal="left" vertical="center"/>
      <protection hidden="1"/>
    </xf>
    <xf numFmtId="0" fontId="5" fillId="26" borderId="4" xfId="0" applyFont="1" applyFill="1" applyBorder="1" applyAlignment="1" applyProtection="1">
      <alignment vertical="center"/>
      <protection hidden="1"/>
    </xf>
    <xf numFmtId="0" fontId="6" fillId="26" borderId="5" xfId="0" applyFont="1" applyFill="1" applyBorder="1" applyAlignment="1" applyProtection="1">
      <alignment vertical="center"/>
      <protection hidden="1"/>
    </xf>
    <xf numFmtId="0" fontId="6" fillId="26" borderId="14" xfId="0" applyFont="1" applyFill="1" applyBorder="1" applyAlignment="1" applyProtection="1">
      <alignment vertical="center"/>
      <protection hidden="1"/>
    </xf>
    <xf numFmtId="10" fontId="13" fillId="19" borderId="0" xfId="0" applyNumberFormat="1" applyFont="1" applyFill="1"/>
    <xf numFmtId="4" fontId="13" fillId="19" borderId="0" xfId="0" applyNumberFormat="1" applyFont="1" applyFill="1"/>
    <xf numFmtId="0" fontId="13" fillId="19" borderId="0" xfId="0" applyFont="1" applyFill="1"/>
    <xf numFmtId="172" fontId="13" fillId="19" borderId="0" xfId="0" applyNumberFormat="1" applyFont="1" applyFill="1"/>
    <xf numFmtId="3" fontId="13" fillId="19" borderId="0" xfId="0" applyNumberFormat="1" applyFont="1" applyFill="1"/>
    <xf numFmtId="166" fontId="13" fillId="19" borderId="0" xfId="0" applyNumberFormat="1" applyFont="1" applyFill="1"/>
    <xf numFmtId="10" fontId="13" fillId="31" borderId="0" xfId="0" applyNumberFormat="1" applyFont="1" applyFill="1"/>
    <xf numFmtId="4" fontId="13" fillId="31" borderId="0" xfId="0" applyNumberFormat="1" applyFont="1" applyFill="1"/>
    <xf numFmtId="0" fontId="13" fillId="31" borderId="0" xfId="0" applyFont="1" applyFill="1"/>
    <xf numFmtId="172" fontId="13" fillId="31" borderId="0" xfId="0" applyNumberFormat="1" applyFont="1" applyFill="1"/>
    <xf numFmtId="3" fontId="13" fillId="31" borderId="0" xfId="0" applyNumberFormat="1" applyFont="1" applyFill="1"/>
    <xf numFmtId="166" fontId="13" fillId="31" borderId="0" xfId="0" applyNumberFormat="1" applyFont="1" applyFill="1"/>
    <xf numFmtId="0" fontId="9" fillId="27" borderId="1" xfId="0" applyFont="1" applyFill="1" applyBorder="1" applyAlignment="1">
      <alignment horizontal="center"/>
    </xf>
    <xf numFmtId="10" fontId="9" fillId="0" borderId="0" xfId="0" applyNumberFormat="1" applyFont="1"/>
    <xf numFmtId="1" fontId="9" fillId="0" borderId="0" xfId="0" applyNumberFormat="1" applyFont="1"/>
    <xf numFmtId="170" fontId="9" fillId="0" borderId="0" xfId="0" applyNumberFormat="1" applyFont="1"/>
    <xf numFmtId="0" fontId="4" fillId="23" borderId="0" xfId="0" applyFont="1" applyFill="1"/>
    <xf numFmtId="0" fontId="21" fillId="0" borderId="0" xfId="0" applyFont="1"/>
    <xf numFmtId="0" fontId="14" fillId="0" borderId="12" xfId="0" applyFont="1" applyBorder="1" applyAlignment="1">
      <alignment horizontal="left"/>
    </xf>
    <xf numFmtId="14" fontId="14" fillId="0" borderId="0" xfId="0" applyNumberFormat="1" applyFont="1" applyAlignment="1">
      <alignment horizontal="center"/>
    </xf>
    <xf numFmtId="4" fontId="14" fillId="0" borderId="0" xfId="2" applyNumberFormat="1" applyFont="1" applyFill="1" applyBorder="1" applyAlignment="1" applyProtection="1">
      <alignment horizontal="center"/>
    </xf>
    <xf numFmtId="4" fontId="14" fillId="32" borderId="0" xfId="2" applyNumberFormat="1" applyFont="1" applyFill="1" applyBorder="1" applyAlignment="1" applyProtection="1">
      <alignment horizontal="center"/>
    </xf>
    <xf numFmtId="167" fontId="14" fillId="0" borderId="0" xfId="0" applyNumberFormat="1" applyFont="1" applyAlignment="1">
      <alignment horizontal="left"/>
    </xf>
    <xf numFmtId="0" fontId="14" fillId="0" borderId="0" xfId="0" applyFont="1" applyAlignment="1">
      <alignment horizontal="right"/>
    </xf>
    <xf numFmtId="3" fontId="6" fillId="26" borderId="19" xfId="0" applyNumberFormat="1" applyFont="1" applyFill="1" applyBorder="1" applyAlignment="1" applyProtection="1">
      <alignment horizontal="center"/>
      <protection hidden="1"/>
    </xf>
    <xf numFmtId="3" fontId="6" fillId="26" borderId="19" xfId="0" applyNumberFormat="1" applyFont="1" applyFill="1" applyBorder="1" applyProtection="1">
      <protection hidden="1"/>
    </xf>
    <xf numFmtId="3" fontId="4" fillId="0" borderId="19" xfId="0" applyNumberFormat="1" applyFont="1" applyBorder="1"/>
    <xf numFmtId="0" fontId="0" fillId="30" borderId="20" xfId="0" applyFill="1" applyBorder="1"/>
    <xf numFmtId="0" fontId="9" fillId="5" borderId="19" xfId="0" applyFont="1" applyFill="1" applyBorder="1" applyAlignment="1" applyProtection="1">
      <alignment horizontal="center" vertical="center" wrapText="1"/>
      <protection hidden="1"/>
    </xf>
    <xf numFmtId="175" fontId="0" fillId="0" borderId="0" xfId="0" applyNumberFormat="1" applyProtection="1">
      <protection hidden="1"/>
    </xf>
    <xf numFmtId="169" fontId="26" fillId="0" borderId="0" xfId="0" applyNumberFormat="1" applyFont="1" applyProtection="1">
      <protection hidden="1"/>
    </xf>
    <xf numFmtId="176" fontId="0" fillId="0" borderId="0" xfId="0" applyNumberFormat="1" applyProtection="1">
      <protection hidden="1"/>
    </xf>
    <xf numFmtId="169" fontId="4" fillId="0" borderId="0" xfId="0" applyNumberFormat="1" applyFont="1" applyProtection="1">
      <protection hidden="1"/>
    </xf>
    <xf numFmtId="173" fontId="8" fillId="19" borderId="1" xfId="0" applyNumberFormat="1" applyFont="1" applyFill="1" applyBorder="1"/>
    <xf numFmtId="0" fontId="41" fillId="0" borderId="0" xfId="0" applyFont="1"/>
    <xf numFmtId="3" fontId="0" fillId="0" borderId="0" xfId="0" applyNumberFormat="1" applyProtection="1">
      <protection hidden="1"/>
    </xf>
    <xf numFmtId="0" fontId="12" fillId="26" borderId="3" xfId="0" applyFont="1" applyFill="1" applyBorder="1" applyProtection="1">
      <protection hidden="1"/>
    </xf>
    <xf numFmtId="0" fontId="8" fillId="33" borderId="0" xfId="0" applyFont="1" applyFill="1"/>
    <xf numFmtId="173" fontId="8" fillId="10" borderId="1" xfId="0" applyNumberFormat="1" applyFont="1" applyFill="1" applyBorder="1"/>
    <xf numFmtId="0" fontId="8" fillId="10" borderId="19" xfId="0" applyFont="1" applyFill="1" applyBorder="1"/>
    <xf numFmtId="0" fontId="9" fillId="33" borderId="0" xfId="0" applyFont="1" applyFill="1" applyAlignment="1">
      <alignment horizontal="left" indent="6"/>
    </xf>
    <xf numFmtId="177" fontId="8" fillId="14" borderId="1" xfId="0" applyNumberFormat="1" applyFont="1" applyFill="1" applyBorder="1"/>
    <xf numFmtId="169" fontId="8" fillId="14" borderId="1" xfId="0" applyNumberFormat="1" applyFont="1" applyFill="1" applyBorder="1"/>
    <xf numFmtId="1" fontId="9" fillId="0" borderId="0" xfId="0" applyNumberFormat="1" applyFont="1" applyAlignment="1">
      <alignment horizontal="center"/>
    </xf>
    <xf numFmtId="0" fontId="31" fillId="0" borderId="0" xfId="0" applyFont="1"/>
    <xf numFmtId="1" fontId="8" fillId="0" borderId="0" xfId="0" applyNumberFormat="1" applyFont="1" applyAlignment="1">
      <alignment horizontal="center"/>
    </xf>
    <xf numFmtId="0" fontId="18" fillId="0" borderId="0" xfId="0" applyFont="1"/>
    <xf numFmtId="0" fontId="1" fillId="0" borderId="0" xfId="15" applyFont="1" applyFill="1" applyBorder="1" applyAlignment="1" applyProtection="1">
      <alignment horizontal="center" vertical="center"/>
    </xf>
    <xf numFmtId="4" fontId="14" fillId="7" borderId="21" xfId="0" applyNumberFormat="1" applyFont="1" applyFill="1" applyBorder="1" applyAlignment="1" applyProtection="1">
      <alignment horizontal="right" vertical="top"/>
      <protection locked="0"/>
    </xf>
    <xf numFmtId="0" fontId="43" fillId="0" borderId="0" xfId="0" applyFont="1" applyAlignment="1">
      <alignment horizontal="left"/>
    </xf>
    <xf numFmtId="0" fontId="43" fillId="0" borderId="12" xfId="0" applyFont="1" applyBorder="1" applyAlignment="1">
      <alignment horizontal="left"/>
    </xf>
    <xf numFmtId="0" fontId="43" fillId="0" borderId="13" xfId="0" applyFont="1" applyBorder="1" applyAlignment="1">
      <alignment horizontal="left"/>
    </xf>
    <xf numFmtId="4" fontId="43" fillId="0" borderId="0" xfId="2" applyNumberFormat="1" applyFont="1" applyFill="1" applyBorder="1" applyAlignment="1" applyProtection="1">
      <alignment horizontal="center"/>
    </xf>
    <xf numFmtId="14" fontId="43" fillId="0" borderId="0" xfId="0" applyNumberFormat="1" applyFont="1" applyAlignment="1">
      <alignment horizontal="left"/>
    </xf>
    <xf numFmtId="0" fontId="43" fillId="0" borderId="0" xfId="0" applyFont="1" applyAlignment="1">
      <alignment horizontal="center"/>
    </xf>
    <xf numFmtId="0" fontId="16" fillId="0" borderId="0" xfId="0" applyFont="1"/>
    <xf numFmtId="4" fontId="14" fillId="0" borderId="0" xfId="0" applyNumberFormat="1" applyFont="1" applyAlignment="1">
      <alignment horizontal="center"/>
    </xf>
    <xf numFmtId="0" fontId="14" fillId="34" borderId="22" xfId="0" applyFont="1" applyFill="1" applyBorder="1" applyAlignment="1">
      <alignment horizontal="center" vertical="center" wrapText="1"/>
    </xf>
    <xf numFmtId="0" fontId="14" fillId="34" borderId="23" xfId="0" applyFont="1" applyFill="1" applyBorder="1" applyAlignment="1">
      <alignment horizontal="center" vertical="center" wrapText="1"/>
    </xf>
    <xf numFmtId="0" fontId="38" fillId="35" borderId="0" xfId="0" applyFont="1" applyFill="1" applyAlignment="1">
      <alignment horizontal="left"/>
    </xf>
    <xf numFmtId="0" fontId="0" fillId="35" borderId="0" xfId="0" applyFill="1"/>
    <xf numFmtId="0" fontId="37" fillId="35" borderId="0" xfId="0" applyFont="1" applyFill="1" applyAlignment="1">
      <alignment horizontal="left" vertical="center" readingOrder="1"/>
    </xf>
    <xf numFmtId="0" fontId="37" fillId="35" borderId="0" xfId="0" applyFont="1" applyFill="1" applyAlignment="1">
      <alignment horizontal="left" vertical="center" indent="1" readingOrder="1"/>
    </xf>
    <xf numFmtId="3" fontId="28" fillId="6" borderId="1" xfId="0" applyNumberFormat="1" applyFont="1" applyFill="1" applyBorder="1" applyAlignment="1" applyProtection="1">
      <alignment horizontal="center" vertical="center"/>
      <protection hidden="1"/>
    </xf>
    <xf numFmtId="4" fontId="42" fillId="36" borderId="0" xfId="2" applyNumberFormat="1" applyFont="1" applyFill="1" applyBorder="1" applyAlignment="1" applyProtection="1">
      <alignment horizontal="center"/>
      <protection locked="0"/>
    </xf>
    <xf numFmtId="178" fontId="42" fillId="36" borderId="0" xfId="2" applyNumberFormat="1" applyFont="1" applyFill="1" applyBorder="1" applyAlignment="1" applyProtection="1">
      <alignment horizontal="center"/>
      <protection locked="0"/>
    </xf>
    <xf numFmtId="10" fontId="14" fillId="36" borderId="0" xfId="0" applyNumberFormat="1" applyFont="1" applyFill="1" applyAlignment="1">
      <alignment horizontal="left"/>
    </xf>
    <xf numFmtId="0" fontId="14" fillId="36" borderId="0" xfId="0" applyFont="1" applyFill="1" applyAlignment="1">
      <alignment horizontal="center"/>
    </xf>
    <xf numFmtId="10" fontId="41" fillId="36" borderId="0" xfId="0" applyNumberFormat="1" applyFont="1" applyFill="1" applyAlignment="1">
      <alignment horizontal="left"/>
    </xf>
    <xf numFmtId="0" fontId="14" fillId="36" borderId="0" xfId="0" applyFont="1" applyFill="1" applyAlignment="1">
      <alignment horizontal="left"/>
    </xf>
    <xf numFmtId="14" fontId="14" fillId="36" borderId="0" xfId="0" applyNumberFormat="1" applyFont="1" applyFill="1" applyAlignment="1">
      <alignment horizontal="left"/>
    </xf>
    <xf numFmtId="4" fontId="42" fillId="0" borderId="0" xfId="2" applyNumberFormat="1" applyFont="1" applyFill="1" applyBorder="1" applyAlignment="1" applyProtection="1">
      <alignment horizontal="left"/>
    </xf>
    <xf numFmtId="0" fontId="42" fillId="0" borderId="0" xfId="0" applyFont="1" applyAlignment="1">
      <alignment horizontal="left" indent="1"/>
    </xf>
    <xf numFmtId="43" fontId="13" fillId="28" borderId="0" xfId="16" applyFont="1" applyFill="1"/>
    <xf numFmtId="43" fontId="13" fillId="0" borderId="0" xfId="16" applyFont="1"/>
    <xf numFmtId="43" fontId="13" fillId="19" borderId="0" xfId="16" applyFont="1" applyFill="1"/>
    <xf numFmtId="43" fontId="13" fillId="0" borderId="0" xfId="16" applyFont="1" applyFill="1"/>
    <xf numFmtId="0" fontId="29" fillId="0" borderId="0" xfId="0" applyFont="1"/>
    <xf numFmtId="0" fontId="8" fillId="37" borderId="0" xfId="0" applyFont="1" applyFill="1"/>
    <xf numFmtId="0" fontId="13" fillId="37" borderId="0" xfId="0" applyFont="1" applyFill="1"/>
    <xf numFmtId="9" fontId="13" fillId="0" borderId="0" xfId="0" applyNumberFormat="1" applyFont="1"/>
    <xf numFmtId="164" fontId="8" fillId="0" borderId="0" xfId="0" applyNumberFormat="1" applyFont="1"/>
    <xf numFmtId="9" fontId="46" fillId="0" borderId="0" xfId="0" applyNumberFormat="1" applyFont="1"/>
    <xf numFmtId="0" fontId="46" fillId="0" borderId="0" xfId="0" applyFont="1"/>
    <xf numFmtId="43" fontId="46" fillId="0" borderId="0" xfId="16" applyFont="1"/>
    <xf numFmtId="0" fontId="28" fillId="0" borderId="0" xfId="0" applyFont="1"/>
    <xf numFmtId="172" fontId="13" fillId="18" borderId="0" xfId="0" applyNumberFormat="1" applyFont="1" applyFill="1"/>
    <xf numFmtId="43" fontId="13" fillId="0" borderId="0" xfId="16" applyFont="1" applyAlignment="1">
      <alignment horizontal="center"/>
    </xf>
    <xf numFmtId="43" fontId="8" fillId="0" borderId="0" xfId="16" applyFont="1" applyAlignment="1">
      <alignment horizontal="center"/>
    </xf>
    <xf numFmtId="43" fontId="13" fillId="18" borderId="0" xfId="16" applyFont="1" applyFill="1"/>
    <xf numFmtId="166" fontId="46" fillId="0" borderId="0" xfId="0" applyNumberFormat="1" applyFont="1"/>
    <xf numFmtId="0" fontId="0" fillId="0" borderId="14" xfId="0" applyBorder="1"/>
    <xf numFmtId="0" fontId="8" fillId="33" borderId="19" xfId="0" applyFont="1" applyFill="1" applyBorder="1"/>
    <xf numFmtId="179" fontId="8" fillId="0" borderId="0" xfId="16" applyNumberFormat="1" applyFont="1"/>
    <xf numFmtId="0" fontId="8" fillId="19" borderId="19" xfId="0" applyFont="1" applyFill="1" applyBorder="1"/>
    <xf numFmtId="0" fontId="9" fillId="33" borderId="19" xfId="0" applyFont="1" applyFill="1" applyBorder="1"/>
    <xf numFmtId="179" fontId="8" fillId="33" borderId="19" xfId="16" applyNumberFormat="1" applyFont="1" applyFill="1" applyBorder="1"/>
    <xf numFmtId="0" fontId="8" fillId="19" borderId="8" xfId="0" applyFont="1" applyFill="1" applyBorder="1"/>
    <xf numFmtId="43" fontId="8" fillId="0" borderId="0" xfId="16" applyFont="1" applyFill="1" applyBorder="1"/>
    <xf numFmtId="179" fontId="8" fillId="0" borderId="0" xfId="16" applyNumberFormat="1" applyFont="1" applyFill="1" applyBorder="1"/>
    <xf numFmtId="0" fontId="9" fillId="3" borderId="19" xfId="1" applyNumberFormat="1" applyFont="1" applyFill="1" applyBorder="1" applyAlignment="1" applyProtection="1">
      <alignment horizontal="center" vertical="center"/>
    </xf>
    <xf numFmtId="0" fontId="8" fillId="21" borderId="19" xfId="0" applyFont="1" applyFill="1" applyBorder="1"/>
    <xf numFmtId="0" fontId="10" fillId="0" borderId="0" xfId="0" applyFont="1"/>
    <xf numFmtId="179" fontId="8" fillId="19" borderId="19" xfId="16" applyNumberFormat="1" applyFont="1" applyFill="1" applyBorder="1"/>
    <xf numFmtId="179" fontId="8" fillId="21" borderId="19" xfId="16" applyNumberFormat="1" applyFont="1" applyFill="1" applyBorder="1"/>
    <xf numFmtId="180" fontId="8" fillId="21" borderId="19" xfId="16" applyNumberFormat="1" applyFont="1" applyFill="1" applyBorder="1" applyAlignment="1">
      <alignment horizontal="center" vertical="center"/>
    </xf>
    <xf numFmtId="180" fontId="8" fillId="21" borderId="1" xfId="0" applyNumberFormat="1" applyFont="1" applyFill="1" applyBorder="1" applyAlignment="1">
      <alignment horizontal="center" vertical="center"/>
    </xf>
    <xf numFmtId="0" fontId="27" fillId="21" borderId="19" xfId="0" applyFont="1" applyFill="1" applyBorder="1"/>
    <xf numFmtId="0" fontId="27" fillId="19" borderId="19" xfId="0" applyFont="1" applyFill="1" applyBorder="1"/>
    <xf numFmtId="181" fontId="8" fillId="19" borderId="19" xfId="16" applyNumberFormat="1" applyFont="1" applyFill="1" applyBorder="1" applyAlignment="1">
      <alignment horizontal="center" vertical="center"/>
    </xf>
    <xf numFmtId="181" fontId="8" fillId="19" borderId="19" xfId="16" applyNumberFormat="1" applyFont="1" applyFill="1" applyBorder="1" applyAlignment="1">
      <alignment horizontal="center"/>
    </xf>
    <xf numFmtId="0" fontId="8" fillId="38" borderId="19" xfId="0" applyFont="1" applyFill="1" applyBorder="1"/>
    <xf numFmtId="179" fontId="8" fillId="38" borderId="19" xfId="16" applyNumberFormat="1" applyFont="1" applyFill="1" applyBorder="1"/>
    <xf numFmtId="0" fontId="31" fillId="38" borderId="19" xfId="0" applyFont="1" applyFill="1" applyBorder="1"/>
    <xf numFmtId="9" fontId="13" fillId="19" borderId="19" xfId="0" applyNumberFormat="1" applyFont="1" applyFill="1" applyBorder="1"/>
    <xf numFmtId="0" fontId="13" fillId="19" borderId="19" xfId="0" applyFont="1" applyFill="1" applyBorder="1"/>
    <xf numFmtId="43" fontId="13" fillId="19" borderId="19" xfId="16" applyFont="1" applyFill="1" applyBorder="1"/>
    <xf numFmtId="179" fontId="13" fillId="19" borderId="19" xfId="16" applyNumberFormat="1" applyFont="1" applyFill="1" applyBorder="1"/>
    <xf numFmtId="0" fontId="31" fillId="23" borderId="0" xfId="0" applyFont="1" applyFill="1"/>
    <xf numFmtId="179" fontId="8" fillId="14" borderId="0" xfId="16" applyNumberFormat="1" applyFont="1" applyFill="1"/>
    <xf numFmtId="0" fontId="8" fillId="39" borderId="19" xfId="0" applyFont="1" applyFill="1" applyBorder="1"/>
    <xf numFmtId="10" fontId="8" fillId="39" borderId="19" xfId="1" applyNumberFormat="1" applyFont="1" applyFill="1" applyBorder="1"/>
    <xf numFmtId="179" fontId="8" fillId="39" borderId="19" xfId="16" applyNumberFormat="1" applyFont="1" applyFill="1" applyBorder="1"/>
    <xf numFmtId="0" fontId="8" fillId="39" borderId="19" xfId="16" applyNumberFormat="1" applyFont="1" applyFill="1" applyBorder="1"/>
    <xf numFmtId="43" fontId="8" fillId="39" borderId="19" xfId="16" applyFont="1" applyFill="1" applyBorder="1"/>
    <xf numFmtId="179" fontId="8" fillId="39" borderId="19" xfId="0" applyNumberFormat="1" applyFont="1" applyFill="1" applyBorder="1"/>
    <xf numFmtId="10" fontId="13" fillId="40" borderId="0" xfId="0" applyNumberFormat="1" applyFont="1" applyFill="1"/>
    <xf numFmtId="4" fontId="13" fillId="40" borderId="0" xfId="0" applyNumberFormat="1" applyFont="1" applyFill="1"/>
    <xf numFmtId="0" fontId="13" fillId="40" borderId="0" xfId="0" applyFont="1" applyFill="1"/>
    <xf numFmtId="172" fontId="13" fillId="40" borderId="0" xfId="0" applyNumberFormat="1" applyFont="1" applyFill="1"/>
    <xf numFmtId="3" fontId="13" fillId="40" borderId="0" xfId="0" applyNumberFormat="1" applyFont="1" applyFill="1"/>
    <xf numFmtId="166" fontId="13" fillId="40" borderId="0" xfId="0" applyNumberFormat="1" applyFont="1" applyFill="1"/>
    <xf numFmtId="43" fontId="13" fillId="40" borderId="0" xfId="16" applyFont="1" applyFill="1"/>
    <xf numFmtId="0" fontId="47" fillId="19" borderId="0" xfId="0" applyFont="1" applyFill="1"/>
    <xf numFmtId="0" fontId="47" fillId="0" borderId="0" xfId="0" applyFont="1"/>
    <xf numFmtId="0" fontId="6" fillId="0" borderId="0" xfId="0" applyFont="1"/>
    <xf numFmtId="182" fontId="8" fillId="40" borderId="19" xfId="0" applyNumberFormat="1" applyFont="1" applyFill="1" applyBorder="1"/>
    <xf numFmtId="0" fontId="13" fillId="5" borderId="0" xfId="0" applyFont="1" applyFill="1" applyProtection="1">
      <protection locked="0"/>
    </xf>
    <xf numFmtId="0" fontId="48" fillId="19" borderId="0" xfId="15" applyFont="1" applyFill="1" applyProtection="1">
      <protection locked="0"/>
    </xf>
    <xf numFmtId="183" fontId="4" fillId="3" borderId="1" xfId="16" applyNumberFormat="1" applyFont="1" applyFill="1" applyBorder="1" applyAlignment="1" applyProtection="1">
      <alignment horizontal="center" vertical="center"/>
      <protection locked="0"/>
    </xf>
    <xf numFmtId="183" fontId="5" fillId="3" borderId="1" xfId="16" applyNumberFormat="1" applyFont="1" applyFill="1" applyBorder="1" applyAlignment="1">
      <alignment horizontal="center" vertical="center"/>
    </xf>
    <xf numFmtId="183" fontId="5" fillId="3" borderId="1" xfId="16" applyNumberFormat="1" applyFont="1" applyFill="1" applyBorder="1" applyAlignment="1" applyProtection="1">
      <alignment horizontal="center" vertical="center"/>
      <protection locked="0"/>
    </xf>
    <xf numFmtId="166" fontId="5" fillId="3" borderId="1" xfId="1" applyNumberFormat="1" applyFont="1" applyFill="1" applyBorder="1" applyAlignment="1" applyProtection="1">
      <alignment horizontal="center" vertical="center"/>
      <protection locked="0"/>
    </xf>
    <xf numFmtId="166" fontId="5" fillId="3" borderId="1" xfId="16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84" fontId="5" fillId="3" borderId="1" xfId="16" applyNumberFormat="1" applyFont="1" applyFill="1" applyBorder="1" applyAlignment="1" applyProtection="1">
      <alignment horizontal="center" vertical="center"/>
      <protection locked="0"/>
    </xf>
    <xf numFmtId="184" fontId="5" fillId="3" borderId="1" xfId="16" applyNumberFormat="1" applyFont="1" applyFill="1" applyBorder="1" applyAlignment="1">
      <alignment horizontal="center" vertical="center"/>
    </xf>
    <xf numFmtId="184" fontId="5" fillId="3" borderId="14" xfId="16" applyNumberFormat="1" applyFont="1" applyFill="1" applyBorder="1" applyAlignment="1" applyProtection="1">
      <alignment horizontal="center" vertical="center"/>
      <protection locked="0"/>
    </xf>
    <xf numFmtId="184" fontId="36" fillId="3" borderId="1" xfId="16" applyNumberFormat="1" applyFont="1" applyFill="1" applyBorder="1" applyAlignment="1">
      <alignment horizontal="center" vertical="center"/>
    </xf>
    <xf numFmtId="0" fontId="27" fillId="23" borderId="0" xfId="0" applyFont="1" applyFill="1" applyAlignment="1">
      <alignment horizontal="center" vertical="center"/>
    </xf>
    <xf numFmtId="0" fontId="4" fillId="15" borderId="8" xfId="0" applyFont="1" applyFill="1" applyBorder="1" applyAlignment="1" applyProtection="1">
      <alignment horizontal="left" vertical="center" indent="1"/>
      <protection locked="0"/>
    </xf>
    <xf numFmtId="0" fontId="0" fillId="0" borderId="10" xfId="0" applyBorder="1" applyProtection="1">
      <protection locked="0"/>
    </xf>
    <xf numFmtId="0" fontId="0" fillId="0" borderId="14" xfId="0" applyBorder="1" applyProtection="1">
      <protection locked="0"/>
    </xf>
    <xf numFmtId="0" fontId="27" fillId="3" borderId="0" xfId="0" applyFont="1" applyFill="1" applyAlignment="1">
      <alignment horizontal="center" vertical="center"/>
    </xf>
    <xf numFmtId="0" fontId="11" fillId="5" borderId="7" xfId="0" applyFont="1" applyFill="1" applyBorder="1" applyAlignment="1">
      <alignment horizontal="left" vertical="center" indent="1"/>
    </xf>
    <xf numFmtId="0" fontId="11" fillId="5" borderId="6" xfId="0" applyFont="1" applyFill="1" applyBorder="1" applyAlignment="1">
      <alignment horizontal="left" vertical="center" indent="1"/>
    </xf>
    <xf numFmtId="0" fontId="11" fillId="5" borderId="9" xfId="0" applyFont="1" applyFill="1" applyBorder="1" applyAlignment="1">
      <alignment horizontal="left" vertical="center" indent="1"/>
    </xf>
    <xf numFmtId="0" fontId="11" fillId="5" borderId="4" xfId="0" applyFont="1" applyFill="1" applyBorder="1" applyAlignment="1">
      <alignment horizontal="left" vertical="center" indent="1"/>
    </xf>
    <xf numFmtId="14" fontId="11" fillId="5" borderId="6" xfId="0" applyNumberFormat="1" applyFont="1" applyFill="1" applyBorder="1" applyAlignment="1">
      <alignment horizontal="right" vertical="center" indent="1"/>
    </xf>
    <xf numFmtId="0" fontId="0" fillId="0" borderId="15" xfId="0" applyBorder="1"/>
    <xf numFmtId="0" fontId="0" fillId="0" borderId="4" xfId="0" applyBorder="1"/>
    <xf numFmtId="0" fontId="0" fillId="0" borderId="5" xfId="0" applyBorder="1"/>
    <xf numFmtId="0" fontId="3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0" xfId="0" applyFont="1" applyFill="1" applyAlignment="1">
      <alignment vertical="center"/>
    </xf>
    <xf numFmtId="49" fontId="8" fillId="3" borderId="8" xfId="0" applyNumberFormat="1" applyFont="1" applyFill="1" applyBorder="1" applyAlignment="1">
      <alignment horizontal="left" vertical="center" wrapText="1"/>
    </xf>
    <xf numFmtId="49" fontId="8" fillId="3" borderId="20" xfId="0" applyNumberFormat="1" applyFont="1" applyFill="1" applyBorder="1" applyAlignment="1">
      <alignment horizontal="left" vertical="center" wrapText="1"/>
    </xf>
    <xf numFmtId="49" fontId="8" fillId="3" borderId="14" xfId="0" applyNumberFormat="1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vertical="center"/>
    </xf>
    <xf numFmtId="0" fontId="27" fillId="0" borderId="0" xfId="0" applyFont="1" applyAlignment="1">
      <alignment horizontal="center" vertical="center"/>
    </xf>
  </cellXfs>
  <cellStyles count="17">
    <cellStyle name="20% - Akzent3 2" xfId="5" xr:uid="{00000000-0005-0000-0000-000000000000}"/>
    <cellStyle name="Berechnung 2" xfId="7" xr:uid="{00000000-0005-0000-0000-000001000000}"/>
    <cellStyle name="Dezimal 2" xfId="10" xr:uid="{00000000-0005-0000-0000-000002000000}"/>
    <cellStyle name="Eingabe 2" xfId="6" xr:uid="{00000000-0005-0000-0000-000003000000}"/>
    <cellStyle name="Komma" xfId="16" builtinId="3"/>
    <cellStyle name="Link" xfId="15" builtinId="8"/>
    <cellStyle name="Prozent" xfId="1" builtinId="5"/>
    <cellStyle name="Standard" xfId="0" builtinId="0"/>
    <cellStyle name="Standard 2" xfId="3" xr:uid="{00000000-0005-0000-0000-000006000000}"/>
    <cellStyle name="Standard 3" xfId="8" xr:uid="{00000000-0005-0000-0000-000007000000}"/>
    <cellStyle name="Standard 4" xfId="9" xr:uid="{00000000-0005-0000-0000-000008000000}"/>
    <cellStyle name="Standard 5" xfId="11" xr:uid="{00000000-0005-0000-0000-000009000000}"/>
    <cellStyle name="Stil 1" xfId="12" xr:uid="{00000000-0005-0000-0000-00000A000000}"/>
    <cellStyle name="Stil 2" xfId="13" xr:uid="{00000000-0005-0000-0000-00000B000000}"/>
    <cellStyle name="Stil 3" xfId="14" xr:uid="{00000000-0005-0000-0000-00000C000000}"/>
    <cellStyle name="Währung 2" xfId="4" xr:uid="{00000000-0005-0000-0000-00000D000000}"/>
    <cellStyle name="Währung_Kreditrechner mit Sondertilgung" xfId="2" xr:uid="{00000000-0005-0000-0000-00000E000000}"/>
  </cellStyles>
  <dxfs count="18">
    <dxf>
      <font>
        <color rgb="FFFF0000"/>
      </font>
      <numFmt numFmtId="4" formatCode="#,##0.00"/>
      <fill>
        <patternFill patternType="solid">
          <bgColor rgb="FFCCCCFF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</dxf>
    <dxf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lor rgb="FFCCFFCC"/>
      </font>
      <fill>
        <patternFill>
          <bgColor rgb="FFCCFFCC"/>
        </patternFill>
      </fill>
    </dxf>
    <dxf>
      <font>
        <color rgb="FFCCFFCC"/>
      </font>
      <fill>
        <patternFill>
          <bgColor rgb="FFCCFFCC"/>
        </patternFill>
      </fill>
      <border>
        <left/>
      </border>
    </dxf>
    <dxf>
      <font>
        <color rgb="FFCCFFCC"/>
      </font>
      <fill>
        <patternFill patternType="solid">
          <bgColor rgb="FFCCFFCC"/>
        </patternFill>
      </fill>
      <border>
        <left/>
        <right/>
        <top/>
        <bottom/>
        <vertical/>
        <horizontal/>
      </border>
    </dxf>
    <dxf>
      <font>
        <color rgb="FFCCFFCC"/>
      </font>
      <fill>
        <patternFill patternType="solid">
          <bgColor rgb="FFCCFFCC"/>
        </patternFill>
      </fill>
      <border>
        <left/>
        <right/>
        <top/>
        <bottom/>
        <vertical/>
        <horizontal/>
      </border>
    </dxf>
    <dxf>
      <font>
        <color rgb="FFCCFFCC"/>
      </font>
      <fill>
        <patternFill patternType="solid">
          <bgColor rgb="FFCCFFCC"/>
        </patternFill>
      </fill>
      <border>
        <left/>
        <right/>
        <top/>
        <bottom/>
        <vertical/>
        <horizontal/>
      </border>
    </dxf>
    <dxf>
      <font>
        <color rgb="FFCC3300"/>
      </font>
      <fill>
        <patternFill>
          <bgColor rgb="FFCC3300"/>
        </patternFill>
      </fill>
      <border>
        <left/>
        <right/>
        <top/>
        <bottom/>
        <vertical/>
        <horizontal/>
      </border>
    </dxf>
    <dxf>
      <fill>
        <patternFill patternType="solid">
          <bgColor rgb="FFFF9999"/>
        </patternFill>
      </fill>
    </dxf>
    <dxf>
      <font>
        <color rgb="FFC4ADA0"/>
      </font>
      <fill>
        <patternFill>
          <bgColor rgb="FFC4ADA0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ont>
        <color rgb="FFCCFFCC"/>
      </font>
    </dxf>
    <dxf>
      <font>
        <color rgb="FFFF0000"/>
      </font>
    </dxf>
    <dxf>
      <fill>
        <patternFill patternType="none">
          <bgColor auto="1"/>
        </patternFill>
      </fill>
    </dxf>
    <dxf>
      <font>
        <color rgb="FFCCFFCC"/>
      </font>
    </dxf>
    <dxf>
      <font>
        <b/>
        <i val="0"/>
        <condense val="0"/>
        <extend val="0"/>
        <color indexed="10"/>
      </font>
      <fill>
        <patternFill>
          <bgColor rgb="FFFF9999"/>
        </patternFill>
      </fill>
    </dxf>
    <dxf>
      <font>
        <b/>
        <i val="0"/>
        <condense val="0"/>
        <extend val="0"/>
        <color indexed="39"/>
      </font>
      <fill>
        <patternFill patternType="solid">
          <bgColor rgb="FFFF9999"/>
        </patternFill>
      </fill>
    </dxf>
  </dxfs>
  <tableStyles count="0" defaultTableStyle="TableStyleMedium9" defaultPivotStyle="PivotStyleLight16"/>
  <colors>
    <mruColors>
      <color rgb="FFFF5050"/>
      <color rgb="FFCCFFCC"/>
      <color rgb="FFA4D76B"/>
      <color rgb="FFFF3300"/>
      <color rgb="FFCC3300"/>
      <color rgb="FFCCCCFF"/>
      <color rgb="FFC4ADA0"/>
      <color rgb="FFABE9FF"/>
      <color rgb="FFADBDF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attachedToolbars" Target="attachedToolbars.bin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25" fmlaLink="J12" horiz="1" max="2" min="1" page="0"/>
</file>

<file path=xl/ctrlProps/ctrlProp2.xml><?xml version="1.0" encoding="utf-8"?>
<formControlPr xmlns="http://schemas.microsoft.com/office/spreadsheetml/2009/9/main" objectType="Scroll" dx="26" fmlaLink="Formeln!$I$11" horiz="1" max="2" min="1" page="0"/>
</file>

<file path=xl/ctrlProps/ctrlProp3.xml><?xml version="1.0" encoding="utf-8"?>
<formControlPr xmlns="http://schemas.microsoft.com/office/spreadsheetml/2009/9/main" objectType="Scroll" dx="26" fmlaLink="Formeln!$I$20" horiz="1" max="4" min="1" page="0" val="4"/>
</file>

<file path=xl/ctrlProps/ctrlProp4.xml><?xml version="1.0" encoding="utf-8"?>
<formControlPr xmlns="http://schemas.microsoft.com/office/spreadsheetml/2009/9/main" objectType="Scroll" dx="26" fmlaLink="Formeln!$B$145" horiz="1" max="2" min="1" page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insen-berechnen.de/tilgungsrechner.php/" TargetMode="External"/><Relationship Id="rId7" Type="http://schemas.openxmlformats.org/officeDocument/2006/relationships/hyperlink" Target="https://www.moneyland.ch/de/rendite-rechner" TargetMode="External"/><Relationship Id="rId2" Type="http://schemas.openxmlformats.org/officeDocument/2006/relationships/hyperlink" Target="https://www.bouvrot-pensionsplanung.com/" TargetMode="External"/><Relationship Id="rId1" Type="http://schemas.openxmlformats.org/officeDocument/2006/relationships/hyperlink" Target="#Hilfe!A1"/><Relationship Id="rId6" Type="http://schemas.openxmlformats.org/officeDocument/2006/relationships/hyperlink" Target="#Eingabe!C7"/><Relationship Id="rId5" Type="http://schemas.openxmlformats.org/officeDocument/2006/relationships/hyperlink" Target="#Details!B2"/><Relationship Id="rId4" Type="http://schemas.openxmlformats.org/officeDocument/2006/relationships/hyperlink" Target="#'Kredit mit Sondertilgung'!D4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Eingabe!G8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Eingabe!G8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Eingabe!G8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microsoft.com/office/2007/relationships/hdphoto" Target="../media/hdphoto1.wdp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121920</xdr:colOff>
      <xdr:row>15</xdr:row>
      <xdr:rowOff>7620</xdr:rowOff>
    </xdr:from>
    <xdr:to>
      <xdr:col>9</xdr:col>
      <xdr:colOff>647700</xdr:colOff>
      <xdr:row>16</xdr:row>
      <xdr:rowOff>7620</xdr:rowOff>
    </xdr:to>
    <xdr:sp macro="" textlink="">
      <xdr:nvSpPr>
        <xdr:cNvPr id="6" name="Textfeld 5">
          <a:hlinkClick xmlns:r="http://schemas.openxmlformats.org/officeDocument/2006/relationships" r:id="rId1" tooltip="Info über diesen Rechner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231880" y="3649980"/>
          <a:ext cx="525780" cy="17526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Info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11</xdr:row>
          <xdr:rowOff>22860</xdr:rowOff>
        </xdr:from>
        <xdr:to>
          <xdr:col>9</xdr:col>
          <xdr:colOff>647700</xdr:colOff>
          <xdr:row>11</xdr:row>
          <xdr:rowOff>243840</xdr:rowOff>
        </xdr:to>
        <xdr:sp macro="" textlink="">
          <xdr:nvSpPr>
            <xdr:cNvPr id="1110" name="Scroll Bar 86" descr="Schalter für Inflation als Kaufkraftverlust oder Wert zur Erhaltung der Kaufkraft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9</xdr:row>
          <xdr:rowOff>7620</xdr:rowOff>
        </xdr:from>
        <xdr:to>
          <xdr:col>5</xdr:col>
          <xdr:colOff>990600</xdr:colOff>
          <xdr:row>9</xdr:row>
          <xdr:rowOff>259080</xdr:rowOff>
        </xdr:to>
        <xdr:sp macro="" textlink="">
          <xdr:nvSpPr>
            <xdr:cNvPr id="1128" name="Scroll Bar 104" descr="Auswahl Zahlung: jährlich, 1/2-jährlich, 1/4-jährlich, Monat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8</xdr:row>
          <xdr:rowOff>7620</xdr:rowOff>
        </xdr:from>
        <xdr:to>
          <xdr:col>5</xdr:col>
          <xdr:colOff>990600</xdr:colOff>
          <xdr:row>8</xdr:row>
          <xdr:rowOff>259080</xdr:rowOff>
        </xdr:to>
        <xdr:sp macro="" textlink="">
          <xdr:nvSpPr>
            <xdr:cNvPr id="1126" name="Scroll Bar 102" descr="Auswahl Laufzeit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254794</xdr:colOff>
      <xdr:row>3</xdr:row>
      <xdr:rowOff>0</xdr:rowOff>
    </xdr:from>
    <xdr:to>
      <xdr:col>8</xdr:col>
      <xdr:colOff>112094</xdr:colOff>
      <xdr:row>4</xdr:row>
      <xdr:rowOff>202432</xdr:rowOff>
    </xdr:to>
    <xdr:sp macro="" textlink="">
      <xdr:nvSpPr>
        <xdr:cNvPr id="12" name="Textfeld 11">
          <a:hlinkClick xmlns:r="http://schemas.openxmlformats.org/officeDocument/2006/relationships" r:id="rId2" tooltip="Themen rund um die Pensionierung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33644" y="844550"/>
          <a:ext cx="1292400" cy="405632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CH" sz="900">
              <a:latin typeface="Arial" panose="020B0604020202020204" pitchFamily="34" charset="0"/>
              <a:cs typeface="Arial" panose="020B0604020202020204" pitchFamily="34" charset="0"/>
            </a:rPr>
            <a:t>Finanzielle Pensionsplanung</a:t>
          </a:r>
        </a:p>
      </xdr:txBody>
    </xdr:sp>
    <xdr:clientData/>
  </xdr:twoCellAnchor>
  <xdr:twoCellAnchor>
    <xdr:from>
      <xdr:col>6</xdr:col>
      <xdr:colOff>585800</xdr:colOff>
      <xdr:row>3</xdr:row>
      <xdr:rowOff>0</xdr:rowOff>
    </xdr:from>
    <xdr:to>
      <xdr:col>7</xdr:col>
      <xdr:colOff>255900</xdr:colOff>
      <xdr:row>4</xdr:row>
      <xdr:rowOff>832</xdr:rowOff>
    </xdr:to>
    <xdr:sp macro="" textlink="">
      <xdr:nvSpPr>
        <xdr:cNvPr id="2" name="Textfeld 1">
          <a:hlinkClick xmlns:r="http://schemas.openxmlformats.org/officeDocument/2006/relationships" r:id="rId3" tooltip="Klassischer Darlehensrechner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729550" y="844550"/>
          <a:ext cx="1105200" cy="204032"/>
        </a:xfrm>
        <a:prstGeom prst="rect">
          <a:avLst/>
        </a:prstGeom>
        <a:solidFill>
          <a:srgbClr val="FF5050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Darlehen</a:t>
          </a:r>
        </a:p>
      </xdr:txBody>
    </xdr:sp>
    <xdr:clientData/>
  </xdr:twoCellAnchor>
  <xdr:twoCellAnchor>
    <xdr:from>
      <xdr:col>5</xdr:col>
      <xdr:colOff>246481</xdr:colOff>
      <xdr:row>3</xdr:row>
      <xdr:rowOff>0</xdr:rowOff>
    </xdr:from>
    <xdr:to>
      <xdr:col>6</xdr:col>
      <xdr:colOff>584200</xdr:colOff>
      <xdr:row>4</xdr:row>
      <xdr:rowOff>202432</xdr:rowOff>
    </xdr:to>
    <xdr:sp macro="" textlink="">
      <xdr:nvSpPr>
        <xdr:cNvPr id="5" name="Textfeld 4">
          <a:hlinkClick xmlns:r="http://schemas.openxmlformats.org/officeDocument/2006/relationships" r:id="rId4" tooltip="Individuelle Tilgung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67881" y="844550"/>
          <a:ext cx="1360069" cy="405632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marL="0" indent="0" algn="ctr"/>
          <a:r>
            <a:rPr lang="de-CH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Kreditrechner</a:t>
          </a:r>
          <a:r>
            <a:rPr lang="de-CH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mit Sondertilgung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247650</xdr:colOff>
      <xdr:row>4</xdr:row>
      <xdr:rowOff>202432</xdr:rowOff>
    </xdr:to>
    <xdr:sp macro="" textlink="">
      <xdr:nvSpPr>
        <xdr:cNvPr id="4" name="Textfeld 3">
          <a:hlinkClick xmlns:r="http://schemas.openxmlformats.org/officeDocument/2006/relationships" r:id="rId5" tooltip="Detailauswertung"/>
          <a:extLst>
            <a:ext uri="{FF2B5EF4-FFF2-40B4-BE49-F238E27FC236}">
              <a16:creationId xmlns:a16="http://schemas.microsoft.com/office/drawing/2014/main" id="{00000000-0008-0000-00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5378450" y="844550"/>
          <a:ext cx="990600" cy="405632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3175" cmpd="sng">
          <a:solidFill>
            <a:schemeClr val="tx1"/>
          </a:solidFill>
        </a:ln>
        <a:effectLst>
          <a:glow>
            <a:srgbClr val="FF9999"/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marL="0" indent="0" algn="ctr">
            <a:buFont typeface="Arial" panose="020B0604020202020204" pitchFamily="34" charset="0"/>
            <a:buNone/>
          </a:pPr>
          <a:r>
            <a:rPr lang="de-CH" sz="10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Details</a:t>
          </a:r>
        </a:p>
      </xdr:txBody>
    </xdr:sp>
    <xdr:clientData/>
  </xdr:twoCellAnchor>
  <xdr:twoCellAnchor>
    <xdr:from>
      <xdr:col>2</xdr:col>
      <xdr:colOff>7620</xdr:colOff>
      <xdr:row>3</xdr:row>
      <xdr:rowOff>0</xdr:rowOff>
    </xdr:from>
    <xdr:to>
      <xdr:col>4</xdr:col>
      <xdr:colOff>0</xdr:colOff>
      <xdr:row>4</xdr:row>
      <xdr:rowOff>202432</xdr:rowOff>
    </xdr:to>
    <xdr:sp macro="" textlink="">
      <xdr:nvSpPr>
        <xdr:cNvPr id="8" name="Textfeld 7">
          <a:hlinkClick xmlns:r="http://schemas.openxmlformats.org/officeDocument/2006/relationships" r:id="rId6" tooltip="Auswahl Spar- oder Kreditrechner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803080" y="839368"/>
          <a:ext cx="2576173" cy="40680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3175"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CH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Setze in das rosa Feld </a:t>
          </a:r>
          <a:r>
            <a:rPr lang="de-CH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ein</a:t>
          </a:r>
          <a:r>
            <a:rPr lang="de-CH" sz="90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</a:t>
          </a:r>
          <a:r>
            <a:rPr lang="de-CH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für den Sparrechner oder ein</a:t>
          </a:r>
          <a:r>
            <a:rPr lang="de-CH" sz="9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</a:t>
          </a:r>
          <a:r>
            <a:rPr lang="de-CH" sz="9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für den Kreditrechner</a:t>
          </a:r>
        </a:p>
        <a:p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7</xdr:row>
          <xdr:rowOff>7620</xdr:rowOff>
        </xdr:from>
        <xdr:to>
          <xdr:col>5</xdr:col>
          <xdr:colOff>998220</xdr:colOff>
          <xdr:row>7</xdr:row>
          <xdr:rowOff>259080</xdr:rowOff>
        </xdr:to>
        <xdr:sp macro="" textlink="">
          <xdr:nvSpPr>
            <xdr:cNvPr id="1130" name="Scroll Bar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6</xdr:col>
      <xdr:colOff>585877</xdr:colOff>
      <xdr:row>4</xdr:row>
      <xdr:rowOff>292</xdr:rowOff>
    </xdr:from>
    <xdr:to>
      <xdr:col>7</xdr:col>
      <xdr:colOff>255977</xdr:colOff>
      <xdr:row>5</xdr:row>
      <xdr:rowOff>1124</xdr:rowOff>
    </xdr:to>
    <xdr:sp macro="" textlink="">
      <xdr:nvSpPr>
        <xdr:cNvPr id="3" name="Textfeld 2">
          <a:hlinkClick xmlns:r="http://schemas.openxmlformats.org/officeDocument/2006/relationships" r:id="rId7" tooltip="Klassischer Sparrechner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729627" y="1048042"/>
          <a:ext cx="1105200" cy="204032"/>
        </a:xfrm>
        <a:prstGeom prst="rect">
          <a:avLst/>
        </a:prstGeom>
        <a:solidFill>
          <a:srgbClr val="00B0F0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Sparrechner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" name="Textfeld 1">
          <a:hlinkClick xmlns:r="http://schemas.openxmlformats.org/officeDocument/2006/relationships" r:id="rId1" tooltip="zurück zur Startseite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76800" y="0"/>
          <a:ext cx="1318260" cy="266700"/>
        </a:xfrm>
        <a:prstGeom prst="rect">
          <a:avLst/>
        </a:prstGeom>
        <a:solidFill>
          <a:srgbClr val="CC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CH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zurück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68580</xdr:colOff>
      <xdr:row>0</xdr:row>
      <xdr:rowOff>38100</xdr:rowOff>
    </xdr:from>
    <xdr:to>
      <xdr:col>9</xdr:col>
      <xdr:colOff>1226820</xdr:colOff>
      <xdr:row>1</xdr:row>
      <xdr:rowOff>60960</xdr:rowOff>
    </xdr:to>
    <xdr:sp macro="" textlink="">
      <xdr:nvSpPr>
        <xdr:cNvPr id="2" name="Textfeld 1">
          <a:hlinkClick xmlns:r="http://schemas.openxmlformats.org/officeDocument/2006/relationships" r:id="rId1" tooltip="zurück zu Eingabe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441180" y="38100"/>
          <a:ext cx="1158240" cy="441960"/>
        </a:xfrm>
        <a:prstGeom prst="rect">
          <a:avLst/>
        </a:prstGeom>
        <a:solidFill>
          <a:srgbClr val="CC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 Startseite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9908540</xdr:colOff>
      <xdr:row>22</xdr:row>
      <xdr:rowOff>53340</xdr:rowOff>
    </xdr:from>
    <xdr:to>
      <xdr:col>0</xdr:col>
      <xdr:colOff>11135360</xdr:colOff>
      <xdr:row>23</xdr:row>
      <xdr:rowOff>157480</xdr:rowOff>
    </xdr:to>
    <xdr:sp macro="" textlink="">
      <xdr:nvSpPr>
        <xdr:cNvPr id="3" name="Textfeld 2">
          <a:hlinkClick xmlns:r="http://schemas.openxmlformats.org/officeDocument/2006/relationships" r:id="rId1" tooltip="zurück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908540" y="4345940"/>
          <a:ext cx="1226820" cy="281940"/>
        </a:xfrm>
        <a:prstGeom prst="rect">
          <a:avLst/>
        </a:prstGeom>
        <a:solidFill>
          <a:srgbClr val="CCFFCC"/>
        </a:solidFill>
        <a:ln w="12700" cmpd="sng">
          <a:solidFill>
            <a:sysClr val="windowText" lastClr="000000">
              <a:alpha val="98000"/>
            </a:sys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CH" sz="1000" b="1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zurück</a:t>
          </a:r>
          <a:r>
            <a:rPr lang="de-CH" sz="1000" b="1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</a:t>
          </a:r>
          <a:r>
            <a:rPr lang="de-CH" sz="1000" b="1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tartseite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0</xdr:rowOff>
    </xdr:from>
    <xdr:to>
      <xdr:col>5</xdr:col>
      <xdr:colOff>247403</xdr:colOff>
      <xdr:row>106</xdr:row>
      <xdr:rowOff>91748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6673603" cy="24285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114300</xdr:rowOff>
    </xdr:from>
    <xdr:to>
      <xdr:col>5</xdr:col>
      <xdr:colOff>266700</xdr:colOff>
      <xdr:row>123</xdr:row>
      <xdr:rowOff>129060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741650"/>
          <a:ext cx="6692900" cy="23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311150</xdr:colOff>
      <xdr:row>107</xdr:row>
      <xdr:rowOff>120650</xdr:rowOff>
    </xdr:from>
    <xdr:to>
      <xdr:col>7</xdr:col>
      <xdr:colOff>628827</xdr:colOff>
      <xdr:row>140</xdr:row>
      <xdr:rowOff>70095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7350" y="15748000"/>
          <a:ext cx="3448227" cy="4769095"/>
        </a:xfrm>
        <a:prstGeom prst="rect">
          <a:avLst/>
        </a:prstGeom>
      </xdr:spPr>
    </xdr:pic>
    <xdr:clientData/>
  </xdr:twoCellAnchor>
  <xdr:twoCellAnchor editAs="oneCell">
    <xdr:from>
      <xdr:col>5</xdr:col>
      <xdr:colOff>342899</xdr:colOff>
      <xdr:row>79</xdr:row>
      <xdr:rowOff>132660</xdr:rowOff>
    </xdr:from>
    <xdr:to>
      <xdr:col>6</xdr:col>
      <xdr:colOff>990600</xdr:colOff>
      <xdr:row>106</xdr:row>
      <xdr:rowOff>115864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-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769099" y="11670610"/>
          <a:ext cx="2730501" cy="39265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146050</xdr:colOff>
      <xdr:row>29</xdr:row>
      <xdr:rowOff>16405</xdr:rowOff>
    </xdr:from>
    <xdr:to>
      <xdr:col>11</xdr:col>
      <xdr:colOff>528728</xdr:colOff>
      <xdr:row>30</xdr:row>
      <xdr:rowOff>38100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10934700" y="4251855"/>
          <a:ext cx="382678" cy="167745"/>
        </a:xfrm>
        <a:prstGeom prst="rect">
          <a:avLst/>
        </a:prstGeom>
      </xdr:spPr>
    </xdr:pic>
    <xdr:clientData/>
  </xdr:twoCellAnchor>
  <xdr:twoCellAnchor editAs="oneCell">
    <xdr:from>
      <xdr:col>11</xdr:col>
      <xdr:colOff>126999</xdr:colOff>
      <xdr:row>30</xdr:row>
      <xdr:rowOff>72661</xdr:rowOff>
    </xdr:from>
    <xdr:to>
      <xdr:col>11</xdr:col>
      <xdr:colOff>508000</xdr:colOff>
      <xdr:row>31</xdr:row>
      <xdr:rowOff>69389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10915649" y="4454161"/>
          <a:ext cx="381001" cy="142778"/>
        </a:xfrm>
        <a:prstGeom prst="rect">
          <a:avLst/>
        </a:prstGeom>
      </xdr:spPr>
    </xdr:pic>
    <xdr:clientData/>
  </xdr:twoCellAnchor>
  <xdr:twoCellAnchor editAs="oneCell">
    <xdr:from>
      <xdr:col>11</xdr:col>
      <xdr:colOff>107950</xdr:colOff>
      <xdr:row>32</xdr:row>
      <xdr:rowOff>252</xdr:rowOff>
    </xdr:from>
    <xdr:to>
      <xdr:col>11</xdr:col>
      <xdr:colOff>571968</xdr:colOff>
      <xdr:row>33</xdr:row>
      <xdr:rowOff>6503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96600" y="4673852"/>
          <a:ext cx="464018" cy="152301"/>
        </a:xfrm>
        <a:prstGeom prst="rect">
          <a:avLst/>
        </a:prstGeom>
      </xdr:spPr>
    </xdr:pic>
    <xdr:clientData/>
  </xdr:twoCellAnchor>
  <xdr:twoCellAnchor editAs="oneCell">
    <xdr:from>
      <xdr:col>11</xdr:col>
      <xdr:colOff>114299</xdr:colOff>
      <xdr:row>32</xdr:row>
      <xdr:rowOff>135432</xdr:rowOff>
    </xdr:from>
    <xdr:to>
      <xdr:col>11</xdr:col>
      <xdr:colOff>596900</xdr:colOff>
      <xdr:row>34</xdr:row>
      <xdr:rowOff>39120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02949" y="4809032"/>
          <a:ext cx="482601" cy="195788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</xdr:colOff>
      <xdr:row>3</xdr:row>
      <xdr:rowOff>142391</xdr:rowOff>
    </xdr:from>
    <xdr:to>
      <xdr:col>13</xdr:col>
      <xdr:colOff>457200</xdr:colOff>
      <xdr:row>5</xdr:row>
      <xdr:rowOff>21529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25350" y="580541"/>
          <a:ext cx="438150" cy="171238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40</xdr:row>
      <xdr:rowOff>0</xdr:rowOff>
    </xdr:from>
    <xdr:to>
      <xdr:col>9</xdr:col>
      <xdr:colOff>61329</xdr:colOff>
      <xdr:row>55</xdr:row>
      <xdr:rowOff>133540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60650" y="5842000"/>
          <a:ext cx="6277979" cy="2324290"/>
        </a:xfrm>
        <a:prstGeom prst="rect">
          <a:avLst/>
        </a:prstGeom>
      </xdr:spPr>
    </xdr:pic>
    <xdr:clientData/>
  </xdr:twoCellAnchor>
  <xdr:twoCellAnchor editAs="oneCell">
    <xdr:from>
      <xdr:col>9</xdr:col>
      <xdr:colOff>292100</xdr:colOff>
      <xdr:row>40</xdr:row>
      <xdr:rowOff>325</xdr:rowOff>
    </xdr:from>
    <xdr:to>
      <xdr:col>13</xdr:col>
      <xdr:colOff>361950</xdr:colOff>
      <xdr:row>55</xdr:row>
      <xdr:rowOff>98695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69400" y="5842325"/>
          <a:ext cx="3498850" cy="2289120"/>
        </a:xfrm>
        <a:prstGeom prst="rect">
          <a:avLst/>
        </a:prstGeom>
      </xdr:spPr>
    </xdr:pic>
    <xdr:clientData/>
  </xdr:twoCellAnchor>
  <xdr:twoCellAnchor editAs="oneCell">
    <xdr:from>
      <xdr:col>4</xdr:col>
      <xdr:colOff>1187450</xdr:colOff>
      <xdr:row>58</xdr:row>
      <xdr:rowOff>113337</xdr:rowOff>
    </xdr:from>
    <xdr:to>
      <xdr:col>12</xdr:col>
      <xdr:colOff>152873</xdr:colOff>
      <xdr:row>73</xdr:row>
      <xdr:rowOff>38253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37150" y="8584237"/>
          <a:ext cx="6540973" cy="2115666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actylos">
  <a:themeElements>
    <a:clrScheme name="Metis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Dactylos">
      <a:majorFont>
        <a:latin typeface="Franklin Gothic Book"/>
        <a:ea typeface=""/>
        <a:cs typeface=""/>
        <a:font script="Grek" typeface="Calibri"/>
        <a:font script="Cyrl" typeface="Calibri"/>
        <a:font script="Jpan" typeface="HGｺﾞｼｯｸM"/>
        <a:font script="Hang" typeface="바탕"/>
        <a:font script="Hans" typeface="幼圆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Perpetua"/>
        <a:ea typeface=""/>
        <a:cs typeface=""/>
        <a:font script="Grek" typeface="Cambria"/>
        <a:font script="Cyrl" typeface="Cambria"/>
        <a:font script="Jpan" typeface="HG創英ﾌﾟﾚｾﾞﾝｽEB"/>
        <a:font script="Hang" typeface="맑은 고딕"/>
        <a:font script="Hans" typeface="宋体"/>
        <a:font script="Hant" typeface="新細明體"/>
        <a:font script="Arab" typeface="Times New Roman"/>
        <a:font script="Hebr" typeface="Aharoni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Dactylos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65000"/>
              </a:schemeClr>
            </a:gs>
            <a:gs pos="50000">
              <a:schemeClr val="phClr">
                <a:shade val="80000"/>
                <a:satMod val="155000"/>
              </a:schemeClr>
            </a:gs>
            <a:gs pos="100000">
              <a:schemeClr val="phClr">
                <a:tint val="95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tint val="95000"/>
                <a:satMod val="200000"/>
              </a:schemeClr>
              <a:schemeClr val="phClr">
                <a:shade val="80000"/>
                <a:satMod val="100000"/>
              </a:schemeClr>
            </a:duotone>
          </a:blip>
          <a:tile tx="0" ty="0" sx="55000" sy="5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insen-berechnen.de/sparrechner.php" TargetMode="External"/><Relationship Id="rId2" Type="http://schemas.openxmlformats.org/officeDocument/2006/relationships/hyperlink" Target="http://www.zinsen-berechnen.de/tilgungsrechner.php/" TargetMode="External"/><Relationship Id="rId1" Type="http://schemas.openxmlformats.org/officeDocument/2006/relationships/hyperlink" Target="http://www.moneyland.ch/de/rendite-rechner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autoPageBreaks="0"/>
  </sheetPr>
  <dimension ref="A1:AA2583"/>
  <sheetViews>
    <sheetView showGridLines="0" showRowColHeaders="0" tabSelected="1" zoomScaleNormal="100" workbookViewId="0">
      <selection activeCell="C2" sqref="C2:J2"/>
    </sheetView>
  </sheetViews>
  <sheetFormatPr baseColWidth="10" defaultColWidth="11.44140625" defaultRowHeight="13.2" x14ac:dyDescent="0.25"/>
  <cols>
    <col min="1" max="1" width="31.5546875" style="121" customWidth="1"/>
    <col min="2" max="2" width="9.77734375" customWidth="1"/>
    <col min="3" max="3" width="7.21875" customWidth="1"/>
    <col min="4" max="4" width="29.77734375" customWidth="1"/>
    <col min="5" max="5" width="10.6640625" customWidth="1"/>
    <col min="6" max="6" width="14.6640625" customWidth="1"/>
    <col min="7" max="9" width="20.5546875" customWidth="1"/>
    <col min="10" max="10" width="9.77734375" customWidth="1"/>
    <col min="11" max="11" width="16.21875" style="121" customWidth="1"/>
    <col min="12" max="14" width="11.44140625" style="121"/>
  </cols>
  <sheetData>
    <row r="1" spans="2:27" ht="52.2" customHeight="1" x14ac:dyDescent="0.3">
      <c r="B1" s="121"/>
      <c r="C1" s="121"/>
      <c r="D1" s="121"/>
      <c r="E1" s="121"/>
      <c r="F1" s="281"/>
      <c r="G1" s="122"/>
      <c r="H1" s="122"/>
      <c r="I1" s="122"/>
      <c r="J1" s="121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</row>
    <row r="2" spans="2:27" ht="15.75" customHeight="1" x14ac:dyDescent="0.25">
      <c r="B2" s="70" t="s">
        <v>21</v>
      </c>
      <c r="C2" s="313" t="s">
        <v>52</v>
      </c>
      <c r="D2" s="314"/>
      <c r="E2" s="314"/>
      <c r="F2" s="314"/>
      <c r="G2" s="314"/>
      <c r="H2" s="314"/>
      <c r="I2" s="314"/>
      <c r="J2" s="315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</row>
    <row r="3" spans="2:27" ht="10.35" customHeight="1" x14ac:dyDescent="0.25">
      <c r="B3" s="8"/>
      <c r="C3" s="7"/>
      <c r="D3" s="7"/>
      <c r="E3" s="7"/>
      <c r="F3" s="7"/>
      <c r="G3" s="7"/>
      <c r="H3" s="7"/>
      <c r="I3" s="7"/>
      <c r="J3" s="3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</row>
    <row r="4" spans="2:27" ht="16.350000000000001" customHeight="1" x14ac:dyDescent="0.25">
      <c r="B4" s="2"/>
      <c r="C4" s="327"/>
      <c r="D4" s="327"/>
      <c r="E4" s="327"/>
      <c r="F4" s="327"/>
      <c r="G4" s="327"/>
      <c r="H4" s="327"/>
      <c r="I4" s="151" t="str">
        <f>IF($C$7="S","Teuerungsrate","")</f>
        <v>Teuerungsrate</v>
      </c>
      <c r="J4" s="3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</row>
    <row r="5" spans="2:27" ht="16.350000000000001" customHeight="1" x14ac:dyDescent="0.25">
      <c r="B5" s="2"/>
      <c r="C5" s="327"/>
      <c r="D5" s="327"/>
      <c r="E5" s="327"/>
      <c r="F5" s="327"/>
      <c r="G5" s="327"/>
      <c r="H5" s="327"/>
      <c r="I5" s="149">
        <v>0.02</v>
      </c>
      <c r="J5" s="3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</row>
    <row r="6" spans="2:27" ht="10.35" customHeight="1" x14ac:dyDescent="0.25">
      <c r="B6" s="2"/>
      <c r="C6" s="4"/>
      <c r="D6" s="4"/>
      <c r="E6" s="4"/>
      <c r="F6" s="4"/>
      <c r="G6" s="4"/>
      <c r="H6" s="4"/>
      <c r="I6" s="5"/>
      <c r="J6" s="3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</row>
    <row r="7" spans="2:27" ht="27" customHeight="1" x14ac:dyDescent="0.25">
      <c r="B7" s="2"/>
      <c r="C7" s="150" t="s">
        <v>105</v>
      </c>
      <c r="D7" s="140" t="str">
        <f>IF($C$7="S","Sparrechner","Kreditrechner")</f>
        <v>Sparrechner</v>
      </c>
      <c r="E7" s="140"/>
      <c r="F7" s="141"/>
      <c r="G7" s="10" t="s">
        <v>51</v>
      </c>
      <c r="H7" s="10" t="s">
        <v>20</v>
      </c>
      <c r="I7" s="68" t="str">
        <f>IF(C7="S","Resultat mit Inflation", "Resultat ohne Abschlusstilgung")</f>
        <v>Resultat mit Inflation</v>
      </c>
      <c r="J7" s="3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</row>
    <row r="8" spans="2:27" ht="21" customHeight="1" x14ac:dyDescent="0.25">
      <c r="B8" s="2"/>
      <c r="C8" s="9">
        <v>1</v>
      </c>
      <c r="D8" s="145" t="str">
        <f>IF(C7="S","Zinsauszahlung | Jahreszinsatz","Jahreszinssatz")</f>
        <v>Zinsauszahlung | Jahreszinsatz</v>
      </c>
      <c r="E8" s="263" t="str">
        <f>IF(C7="K","",Formeln!C145)</f>
        <v>jährlich</v>
      </c>
      <c r="F8" s="254"/>
      <c r="G8" s="305">
        <v>0.05</v>
      </c>
      <c r="H8" s="306">
        <f>IF(Formeln!H2&lt;&gt;1,"",IF(AND($C$7="S",G8=""),Formeln!G17*Formeln!L20,IF(AND($C$7="K",G8=""),Formeln!G47*Formeln!L20,G8)))</f>
        <v>0.05</v>
      </c>
      <c r="I8" s="307">
        <f>H8</f>
        <v>0.05</v>
      </c>
      <c r="J8" s="12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</row>
    <row r="9" spans="2:27" ht="21" customHeight="1" x14ac:dyDescent="0.25">
      <c r="B9" s="2"/>
      <c r="C9" s="9">
        <v>2</v>
      </c>
      <c r="D9" s="145" t="s">
        <v>7</v>
      </c>
      <c r="E9" s="147" t="str">
        <f>(Formeln!J11)</f>
        <v>Jahre</v>
      </c>
      <c r="F9" s="142"/>
      <c r="G9" s="302">
        <v>10</v>
      </c>
      <c r="H9" s="303">
        <f>IF(Formeln!H2&lt;&gt;1,"",IF(AND(AND($C$7="S",G9="",Formeln!I11=1)),Formeln!C27/Formeln!L20,IF(AND(AND($C$7="S",G9="",Formeln!I11=2)),Formeln!C27*Formeln!M20,IF(AND(AND($C$7="K",G9="",Formeln!I11=1)),Formeln!C57/Formeln!L20,IF(AND(AND($C$7="K",G9="",Formeln!I11=2)),Formeln!C57*Formeln!M20,G9)))))</f>
        <v>10</v>
      </c>
      <c r="I9" s="303">
        <f>H9</f>
        <v>10</v>
      </c>
      <c r="J9" s="3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</row>
    <row r="10" spans="2:27" ht="21" customHeight="1" x14ac:dyDescent="0.25">
      <c r="B10" s="2"/>
      <c r="C10" s="9">
        <v>3</v>
      </c>
      <c r="D10" s="143" t="str">
        <f>IF($C$7="S","Sparleistung","Zahlung (Tilgung+Zins)")</f>
        <v>Sparleistung</v>
      </c>
      <c r="E10" s="148" t="str">
        <f>Formeln!J20</f>
        <v>jährlich</v>
      </c>
      <c r="F10" s="144"/>
      <c r="G10" s="308">
        <v>5000</v>
      </c>
      <c r="H10" s="309">
        <f>IF(Formeln!H2&lt;&gt;1,"",IF(AND($C$7="S",G10=""),Formeln!G7,IF(AND($C$7="K",G10=""),Formeln!G37,G10)))</f>
        <v>5000</v>
      </c>
      <c r="I10" s="309">
        <f>IF(Formeln!H2&lt;&gt;1,"",IF(Eingabe!C7="K",Formeln!G57,IF(AND(Eingabe!C7="S",J12=1),H10,Formeln!G77)))</f>
        <v>5000</v>
      </c>
      <c r="J10" s="3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</row>
    <row r="11" spans="2:27" ht="21" customHeight="1" x14ac:dyDescent="0.25">
      <c r="B11" s="2"/>
      <c r="C11" s="9">
        <v>4</v>
      </c>
      <c r="D11" s="331" t="str">
        <f>IF($C$7="S","Anfangskapital","Kreditbetrag")</f>
        <v>Anfangskapital</v>
      </c>
      <c r="E11" s="332"/>
      <c r="F11" s="333"/>
      <c r="G11" s="310">
        <v>10000</v>
      </c>
      <c r="H11" s="309">
        <f>IF(Formeln!H2&lt;&gt;1,"",IF(AND($C$7="S",G11=""),Formeln!C17,IF(AND($C$7="K",G11=""),Formeln!C47,G11)))</f>
        <v>10000</v>
      </c>
      <c r="I11" s="309">
        <f>H11</f>
        <v>10000</v>
      </c>
      <c r="J11" s="3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</row>
    <row r="12" spans="2:27" ht="21" customHeight="1" x14ac:dyDescent="0.25">
      <c r="B12" s="2"/>
      <c r="C12" s="9">
        <v>5</v>
      </c>
      <c r="D12" s="331" t="str">
        <f>IF($C$7="S","Endkapital","Abschlusstilgung")</f>
        <v>Endkapital</v>
      </c>
      <c r="E12" s="332"/>
      <c r="F12" s="334"/>
      <c r="G12" s="308"/>
      <c r="H12" s="309">
        <f>IF($G$12&gt;0,$G$12,IF(AND($C$7="S",Formeln!$B$145=1),Formeln!$C$159,IF(Formeln!H2&lt;&gt;1,"",IF(AND(C7="S",G12=""),Formeln!C7,IF(AND(C7="K",G12=""),Formeln!C37,G12)))))</f>
        <v>79178.408945518575</v>
      </c>
      <c r="I12" s="311">
        <f>IF(Formeln!H2&lt;&gt;1,"",IF(Eingabe!C7="K",0,IF(AND(C7="S",J12=1),Formeln!C68,Formeln!C77)))</f>
        <v>64953.873165275931</v>
      </c>
      <c r="J12" s="69">
        <v>1</v>
      </c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</row>
    <row r="13" spans="2:27" ht="26.1" customHeight="1" x14ac:dyDescent="0.25">
      <c r="B13" s="2"/>
      <c r="C13" s="1">
        <v>6</v>
      </c>
      <c r="D13" s="328" t="s">
        <v>149</v>
      </c>
      <c r="E13" s="329"/>
      <c r="F13" s="330"/>
      <c r="G13" s="304">
        <v>0</v>
      </c>
      <c r="H13" s="303">
        <f>G13</f>
        <v>0</v>
      </c>
      <c r="I13" s="303">
        <f>H13</f>
        <v>0</v>
      </c>
      <c r="J13" s="3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</row>
    <row r="14" spans="2:27" ht="8.1" customHeight="1" x14ac:dyDescent="0.25">
      <c r="B14" s="2"/>
      <c r="C14" s="4"/>
      <c r="D14" s="4"/>
      <c r="E14" s="4"/>
      <c r="F14" s="4"/>
      <c r="G14" s="4"/>
      <c r="H14" s="4"/>
      <c r="I14" s="7"/>
      <c r="J14" s="3"/>
      <c r="K14" s="125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</row>
    <row r="15" spans="2:27" ht="14.1" customHeight="1" x14ac:dyDescent="0.25">
      <c r="B15" s="2"/>
      <c r="C15" s="316" t="str">
        <f>IF(Formeln!H2&lt;1,"Löschen Sie bitte ein Eingabefeld!",IF(Formeln!H2&gt;1,"Bitte unter «Eingabe» vier der fünf Eingabefelder ausfüllen! Der gesuchte Wert offen lassen.",IF(AND(Formeln!I20=4,Formeln!I11=1,Eingabe!H9&gt;600),"Die Angaben unter «Details» sind bei mehr als 600 Jahre nicht verfügbar. Die Resultate in der Maske bleiben aber in jedem Fall KORREKT!",IF(AND(Formeln!I20=3,Formeln!I11=1,Eingabe!H9&gt;300),"Die Angaben unter «Details» sind bei mehr als 300 Jahre nicht verfügbar. Die Resultate in der Maske bleiben aber in jedem Fall KORREKT!",IF(AND(Formeln!I20=2,Formeln!I11=1,Eingabe!H9&gt;150),"Die Angaben unter «Details» sind bei mehr als 150 Jahre nicht verfügbar. Die Resultate in der Maske bleiben aber in jedem Fall KORREKT!",IF(AND(Formeln!I20=1,Formeln!I11=1,Eingabe!H9&gt;50),"Die Angaben unter «Details» sind bei mehr als 50 Jahre nicht verfügbar. Die Resultate in der Maske bleiben aber in jedem Fall KORREKT!",IF(AND(Formeln!I20=4,Formeln!I11=2,Eingabe!H9&gt;7200),"Die Angaben unter «Details» sind bei mehr als 7200 Monate nicht verfügbar. Die Resultate in der Maske bleiben aber in jedem Fall KORREKT!",IF(AND(Formeln!I20=3,Formeln!I11=2,Eingabe!H9&gt;3600),"Die Angaben unter «Details» sind bei mehr als  3600 Monate nicht verfügbar. Die Resultate in der Maske bleiben aber in jedem Fall KORREKT! ",IF(AND(Formeln!I20=2,Formeln!I11=2,Eingabe!H9&gt;1800),"Die Angaben unter «Details» sind bei mehr als 1800 Monate nicht verfügbar. Die Resultate in der Maske bleiben aber in jedem Fall KORREKT!",IF(AND(Formeln!I20=1,Formeln!I11=2,Eingabe!H9&gt;600),"Die Angaben unter «Details» sind bei mehr als 600 Monate nicht verfügbar. Die Resultate in der Maske bleiben aber in jedem Fall KORREKT!  ",IF(Formeln!K30&gt;0,"Bitte die eingegebene «Laufzeit» oder die PERIODE  im Feld «Sparleistung» bzw. «Zahlung» anpassen! Siehe Erklärungen Punkt 6 unter «Hilfe»","")))))))))))</f>
        <v/>
      </c>
      <c r="D15" s="316"/>
      <c r="E15" s="316"/>
      <c r="F15" s="316"/>
      <c r="G15" s="316"/>
      <c r="H15" s="316"/>
      <c r="I15" s="316"/>
      <c r="J15" s="3"/>
      <c r="K15" s="125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</row>
    <row r="16" spans="2:27" ht="14.1" customHeight="1" x14ac:dyDescent="0.25">
      <c r="B16" s="2"/>
      <c r="C16" s="325" t="str">
        <f>IF(C7="K","",IF(AND(I5&lt;0,I12&gt;H12),"Inflationsbereinigtes Endkapital infolge Wertzunahme durch die eingetragene Deflation.",IF(AND(I5&lt;0,I12&lt;H12),"Inflationsbereinigtes Endkapital, um den Zielsparbetrag infolge Wertzunahme durch die Deflation zu erreichen.",IF(I12&lt;H12,"Restwert infolge Kaufkraftverlust in diesem Zeitraum.",IF(I12&gt;H12,"Notwendiges Kapital bzw. erforderliche Sparleistung um den Kaufkraftverlust auszugleichen.","")))))</f>
        <v>Restwert infolge Kaufkraftverlust in diesem Zeitraum.</v>
      </c>
      <c r="D16" s="326"/>
      <c r="E16" s="326"/>
      <c r="F16" s="326"/>
      <c r="G16" s="326"/>
      <c r="H16" s="326"/>
      <c r="I16" s="326"/>
      <c r="J16" s="3"/>
      <c r="K16" s="125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</row>
    <row r="17" spans="1:27" ht="6.6" customHeight="1" x14ac:dyDescent="0.25">
      <c r="B17" s="11"/>
      <c r="C17" s="5"/>
      <c r="D17" s="5"/>
      <c r="E17" s="5"/>
      <c r="F17" s="5"/>
      <c r="G17" s="5"/>
      <c r="H17" s="5"/>
      <c r="I17" s="5"/>
      <c r="J17" s="6"/>
      <c r="K17" s="125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</row>
    <row r="18" spans="1:27" ht="8.1" customHeight="1" x14ac:dyDescent="0.25">
      <c r="A18" s="123"/>
      <c r="B18" s="317" t="s">
        <v>74</v>
      </c>
      <c r="C18" s="318"/>
      <c r="D18" s="318"/>
      <c r="E18" s="318"/>
      <c r="F18" s="318"/>
      <c r="G18" s="24"/>
      <c r="H18" s="24"/>
      <c r="I18" s="321">
        <f ca="1">TODAY()</f>
        <v>46090</v>
      </c>
      <c r="J18" s="322"/>
      <c r="K18" s="125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</row>
    <row r="19" spans="1:27" ht="7.8" customHeight="1" x14ac:dyDescent="0.25">
      <c r="B19" s="319"/>
      <c r="C19" s="320"/>
      <c r="D19" s="320"/>
      <c r="E19" s="320"/>
      <c r="F19" s="320"/>
      <c r="G19" s="25"/>
      <c r="H19" s="25"/>
      <c r="I19" s="323"/>
      <c r="J19" s="324"/>
      <c r="K19" s="125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</row>
    <row r="20" spans="1:27" ht="7.8" customHeight="1" x14ac:dyDescent="0.25">
      <c r="B20" s="121"/>
      <c r="C20" s="121"/>
      <c r="D20" s="121"/>
      <c r="E20" s="121"/>
      <c r="F20" s="121"/>
      <c r="G20" s="121"/>
      <c r="H20" s="121"/>
      <c r="I20" s="121"/>
      <c r="J20" s="121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</row>
    <row r="21" spans="1:27" ht="13.2" customHeight="1" x14ac:dyDescent="0.25">
      <c r="B21" s="312" t="str">
        <f>IF(G12&gt;0,"Achtung: Wenn Sie das Endkapital vorgeben, beziehen sich die «Resultate» immer auf den Zinsauszahlungs-Rhythmus entsprechend der Sparleistung!","")</f>
        <v/>
      </c>
      <c r="C21" s="335"/>
      <c r="D21" s="335"/>
      <c r="E21" s="335"/>
      <c r="F21" s="335"/>
      <c r="G21" s="335"/>
      <c r="H21" s="335"/>
      <c r="I21" s="335"/>
      <c r="J21" s="335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</row>
    <row r="22" spans="1:27" ht="13.2" customHeight="1" x14ac:dyDescent="0.25">
      <c r="B22" s="312" t="str">
        <f>IF(Formeln!H2&lt;&gt;1,"",IF(ISERROR(H8+H9+H10+H11+H12+I8+I9+I10+I11+I12),"Mit diesen Angaben ist eine Berechnung nicht möglich! Bitte relativieren Sie die Daten und füllen die Eingabefelder neu aus!",""))</f>
        <v/>
      </c>
      <c r="C22" s="312"/>
      <c r="D22" s="312"/>
      <c r="E22" s="312"/>
      <c r="F22" s="312"/>
      <c r="G22" s="312"/>
      <c r="H22" s="312"/>
      <c r="I22" s="312"/>
      <c r="J22" s="312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</row>
    <row r="23" spans="1:27" x14ac:dyDescent="0.25">
      <c r="B23" s="121"/>
      <c r="C23" s="121"/>
      <c r="D23" s="121"/>
      <c r="E23" s="121"/>
      <c r="F23" s="121"/>
      <c r="G23" s="121"/>
      <c r="H23" s="121"/>
      <c r="I23" s="121"/>
      <c r="J23" s="121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</row>
    <row r="24" spans="1:27" x14ac:dyDescent="0.25">
      <c r="B24" s="179"/>
      <c r="C24" s="121"/>
      <c r="D24" s="121"/>
      <c r="E24" s="121"/>
      <c r="F24" s="121"/>
      <c r="G24" s="121"/>
      <c r="H24" s="126"/>
      <c r="I24" s="127"/>
      <c r="J24" s="12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</row>
    <row r="25" spans="1:27" x14ac:dyDescent="0.25">
      <c r="B25" s="179"/>
      <c r="C25" s="121"/>
      <c r="D25" s="121"/>
      <c r="E25" s="121"/>
      <c r="F25" s="121"/>
      <c r="G25" s="127"/>
      <c r="H25" s="126"/>
      <c r="I25" s="121"/>
      <c r="J25" s="12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</row>
    <row r="26" spans="1:27" x14ac:dyDescent="0.25">
      <c r="B26" s="121"/>
      <c r="C26" s="121"/>
      <c r="D26" s="121"/>
      <c r="E26" s="121"/>
      <c r="F26" s="121"/>
      <c r="G26" s="127"/>
      <c r="H26" s="126"/>
      <c r="I26" s="121"/>
      <c r="J26" s="12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</row>
    <row r="27" spans="1:27" x14ac:dyDescent="0.25">
      <c r="B27" s="121"/>
      <c r="C27" s="121"/>
      <c r="D27" s="121"/>
      <c r="E27" s="121"/>
      <c r="F27" s="121"/>
      <c r="G27" s="121"/>
      <c r="H27" s="126"/>
      <c r="I27" s="121"/>
      <c r="J27" s="12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</row>
    <row r="28" spans="1:27" x14ac:dyDescent="0.25">
      <c r="B28" s="121"/>
      <c r="C28" s="121"/>
      <c r="D28" s="121"/>
      <c r="E28" s="121"/>
      <c r="F28" s="121"/>
      <c r="G28" s="127"/>
      <c r="H28" s="126"/>
      <c r="I28" s="121"/>
      <c r="J28" s="12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</row>
    <row r="29" spans="1:27" x14ac:dyDescent="0.25">
      <c r="B29" s="121"/>
      <c r="C29" s="121"/>
      <c r="D29" s="121"/>
      <c r="E29" s="121"/>
      <c r="F29" s="121"/>
      <c r="G29" s="121"/>
      <c r="H29" s="121"/>
      <c r="I29" s="121"/>
      <c r="J29" s="121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</row>
    <row r="30" spans="1:27" x14ac:dyDescent="0.25">
      <c r="B30" s="121"/>
      <c r="C30" s="121"/>
      <c r="D30" s="121"/>
      <c r="E30" s="121"/>
      <c r="F30" s="121"/>
      <c r="G30" s="121"/>
      <c r="H30" s="121"/>
      <c r="I30" s="121"/>
      <c r="J30" s="121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</row>
    <row r="31" spans="1:27" x14ac:dyDescent="0.25">
      <c r="B31" s="121"/>
      <c r="C31" s="121"/>
      <c r="D31" s="121"/>
      <c r="E31" s="121"/>
      <c r="F31" s="121"/>
      <c r="G31" s="121"/>
      <c r="H31" s="121"/>
      <c r="I31" s="121"/>
      <c r="J31" s="121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</row>
    <row r="32" spans="1:27" x14ac:dyDescent="0.25">
      <c r="B32" s="121"/>
      <c r="C32" s="121"/>
      <c r="D32" s="121"/>
      <c r="E32" s="121"/>
      <c r="F32" s="121"/>
      <c r="G32" s="121"/>
      <c r="H32" s="121"/>
      <c r="I32" s="121"/>
      <c r="J32" s="121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</row>
    <row r="33" spans="1:27" x14ac:dyDescent="0.25">
      <c r="B33" s="121"/>
      <c r="C33" s="121"/>
      <c r="D33" s="121"/>
      <c r="E33" s="121"/>
      <c r="F33" s="121"/>
      <c r="G33" s="121"/>
      <c r="H33" s="121"/>
      <c r="I33" s="121"/>
      <c r="J33" s="121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</row>
    <row r="34" spans="1:27" x14ac:dyDescent="0.25">
      <c r="B34" s="121"/>
      <c r="C34" s="121"/>
      <c r="D34" s="121"/>
      <c r="E34" s="121"/>
      <c r="F34" s="121"/>
      <c r="G34" s="121"/>
      <c r="H34" s="121"/>
      <c r="I34" s="121"/>
      <c r="J34" s="121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</row>
    <row r="35" spans="1:27" x14ac:dyDescent="0.25">
      <c r="B35" s="121"/>
      <c r="C35" s="121"/>
      <c r="D35" s="121"/>
      <c r="E35" s="121"/>
      <c r="F35" s="121"/>
      <c r="G35" s="121"/>
      <c r="H35" s="121"/>
      <c r="I35" s="121"/>
      <c r="J35" s="121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</row>
    <row r="36" spans="1:27" x14ac:dyDescent="0.25">
      <c r="B36" s="121"/>
      <c r="C36" s="121"/>
      <c r="D36" s="121"/>
      <c r="E36" s="121"/>
      <c r="F36" s="121"/>
      <c r="G36" s="121"/>
      <c r="H36" s="121"/>
      <c r="I36" s="121"/>
      <c r="J36" s="121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</row>
    <row r="37" spans="1:27" x14ac:dyDescent="0.25">
      <c r="B37" s="121"/>
      <c r="C37" s="121"/>
      <c r="D37" s="121"/>
      <c r="E37" s="121"/>
      <c r="F37" s="121"/>
      <c r="G37" s="121"/>
      <c r="H37" s="121"/>
      <c r="I37" s="121"/>
      <c r="J37" s="121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</row>
    <row r="38" spans="1:27" x14ac:dyDescent="0.25">
      <c r="B38" s="121"/>
      <c r="C38" s="121"/>
      <c r="D38" s="121"/>
      <c r="E38" s="121"/>
      <c r="F38" s="121"/>
      <c r="G38" s="121"/>
      <c r="H38" s="121"/>
      <c r="I38" s="121"/>
      <c r="J38" s="121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</row>
    <row r="39" spans="1:27" x14ac:dyDescent="0.25">
      <c r="B39" s="121"/>
      <c r="C39" s="121"/>
      <c r="D39" s="121"/>
      <c r="E39" s="121"/>
      <c r="F39" s="121"/>
      <c r="G39" s="121"/>
      <c r="H39" s="121"/>
      <c r="I39" s="121"/>
      <c r="J39" s="121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</row>
    <row r="40" spans="1:27" x14ac:dyDescent="0.25">
      <c r="B40" s="121"/>
      <c r="C40" s="121"/>
      <c r="D40" s="121"/>
      <c r="E40" s="121"/>
      <c r="F40" s="121"/>
      <c r="G40" s="121"/>
      <c r="H40" s="121"/>
      <c r="I40" s="121"/>
      <c r="J40" s="121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</row>
    <row r="41" spans="1:27" x14ac:dyDescent="0.25">
      <c r="B41" s="121"/>
      <c r="C41" s="121"/>
      <c r="D41" s="121"/>
      <c r="E41" s="121"/>
      <c r="F41" s="121"/>
      <c r="G41" s="121"/>
      <c r="H41" s="128"/>
      <c r="I41" s="129"/>
      <c r="J41" s="121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</row>
    <row r="42" spans="1:27" x14ac:dyDescent="0.25">
      <c r="A42" s="124"/>
      <c r="B42" s="121"/>
      <c r="C42" s="121"/>
      <c r="D42" s="121"/>
      <c r="E42" s="121"/>
      <c r="F42" s="121"/>
      <c r="G42" s="121"/>
      <c r="H42" s="128"/>
      <c r="I42" s="121"/>
      <c r="J42" s="121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</row>
    <row r="43" spans="1:27" x14ac:dyDescent="0.25">
      <c r="B43" s="121"/>
      <c r="C43" s="121"/>
      <c r="D43" s="121"/>
      <c r="E43" s="121"/>
      <c r="F43" s="121"/>
      <c r="G43" s="121"/>
      <c r="H43" s="121"/>
      <c r="I43" s="121"/>
      <c r="J43" s="121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</row>
    <row r="44" spans="1:27" x14ac:dyDescent="0.25">
      <c r="B44" s="121"/>
      <c r="C44" s="121"/>
      <c r="D44" s="121"/>
      <c r="E44" s="121"/>
      <c r="F44" s="121"/>
      <c r="G44" s="121"/>
      <c r="H44" s="121"/>
      <c r="I44" s="121"/>
      <c r="J44" s="121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</row>
    <row r="45" spans="1:27" x14ac:dyDescent="0.25">
      <c r="B45" s="121"/>
      <c r="C45" s="121"/>
      <c r="D45" s="121"/>
      <c r="E45" s="121"/>
      <c r="F45" s="121"/>
      <c r="G45" s="121"/>
      <c r="H45" s="121"/>
      <c r="I45" s="121"/>
      <c r="J45" s="121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</row>
    <row r="46" spans="1:27" x14ac:dyDescent="0.25">
      <c r="B46" s="121"/>
      <c r="C46" s="121"/>
      <c r="D46" s="121"/>
      <c r="E46" s="121"/>
      <c r="F46" s="121"/>
      <c r="G46" s="121"/>
      <c r="H46" s="121"/>
      <c r="I46" s="121"/>
      <c r="J46" s="121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</row>
    <row r="47" spans="1:27" x14ac:dyDescent="0.25">
      <c r="B47" s="121"/>
      <c r="C47" s="121"/>
      <c r="D47" s="121"/>
      <c r="E47" s="121"/>
      <c r="F47" s="121"/>
      <c r="G47" s="121"/>
      <c r="H47" s="128"/>
      <c r="I47" s="129"/>
      <c r="J47" s="121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</row>
    <row r="48" spans="1:27" x14ac:dyDescent="0.25">
      <c r="B48" s="121"/>
      <c r="C48" s="121"/>
      <c r="D48" s="121"/>
      <c r="E48" s="121"/>
      <c r="F48" s="121"/>
      <c r="G48" s="121"/>
      <c r="H48" s="128"/>
      <c r="I48" s="121"/>
      <c r="J48" s="121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</row>
    <row r="49" spans="1:27" x14ac:dyDescent="0.25">
      <c r="B49" s="121"/>
      <c r="C49" s="121"/>
      <c r="D49" s="121"/>
      <c r="E49" s="121"/>
      <c r="F49" s="121"/>
      <c r="G49" s="121"/>
      <c r="H49" s="121"/>
      <c r="I49" s="121"/>
      <c r="J49" s="121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</row>
    <row r="50" spans="1:27" x14ac:dyDescent="0.25">
      <c r="B50" s="121"/>
      <c r="C50" s="121"/>
      <c r="D50" s="121"/>
      <c r="E50" s="121"/>
      <c r="F50" s="121"/>
      <c r="G50" s="121"/>
      <c r="H50" s="121"/>
      <c r="I50" s="121"/>
      <c r="J50" s="121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</row>
    <row r="51" spans="1:27" x14ac:dyDescent="0.25">
      <c r="A51"/>
      <c r="K51"/>
      <c r="L51"/>
      <c r="M51"/>
      <c r="N51"/>
    </row>
    <row r="52" spans="1:27" x14ac:dyDescent="0.25">
      <c r="A52"/>
      <c r="K52"/>
      <c r="L52"/>
      <c r="M52"/>
      <c r="N52"/>
    </row>
    <row r="53" spans="1:27" x14ac:dyDescent="0.25">
      <c r="A53"/>
      <c r="K53"/>
      <c r="L53"/>
      <c r="M53"/>
      <c r="N53"/>
    </row>
    <row r="54" spans="1:27" x14ac:dyDescent="0.25">
      <c r="A54"/>
      <c r="K54"/>
      <c r="L54"/>
      <c r="M54"/>
      <c r="N54"/>
    </row>
    <row r="55" spans="1:27" x14ac:dyDescent="0.25">
      <c r="A55"/>
      <c r="K55"/>
      <c r="L55"/>
      <c r="M55"/>
      <c r="N55"/>
    </row>
    <row r="56" spans="1:27" x14ac:dyDescent="0.25">
      <c r="A56"/>
      <c r="K56"/>
      <c r="L56"/>
      <c r="M56"/>
      <c r="N56"/>
    </row>
    <row r="57" spans="1:27" x14ac:dyDescent="0.25">
      <c r="A57"/>
      <c r="K57"/>
      <c r="L57"/>
      <c r="M57"/>
      <c r="N57"/>
    </row>
    <row r="58" spans="1:27" x14ac:dyDescent="0.25">
      <c r="A58"/>
      <c r="K58"/>
      <c r="L58"/>
      <c r="M58"/>
      <c r="N58"/>
    </row>
    <row r="59" spans="1:27" x14ac:dyDescent="0.25">
      <c r="A59"/>
      <c r="K59"/>
      <c r="L59"/>
      <c r="M59"/>
      <c r="N59"/>
    </row>
    <row r="60" spans="1:27" x14ac:dyDescent="0.25">
      <c r="A60"/>
      <c r="K60"/>
      <c r="L60"/>
      <c r="M60"/>
      <c r="N60"/>
    </row>
    <row r="61" spans="1:27" x14ac:dyDescent="0.25">
      <c r="A61"/>
      <c r="K61"/>
      <c r="L61"/>
      <c r="M61"/>
      <c r="N61"/>
    </row>
    <row r="62" spans="1:27" x14ac:dyDescent="0.25">
      <c r="A62"/>
      <c r="K62"/>
      <c r="L62"/>
      <c r="M62"/>
      <c r="N62"/>
    </row>
    <row r="63" spans="1:27" x14ac:dyDescent="0.25">
      <c r="A63"/>
      <c r="K63"/>
      <c r="L63"/>
      <c r="M63"/>
      <c r="N63"/>
    </row>
    <row r="64" spans="1:27" x14ac:dyDescent="0.25">
      <c r="A64"/>
      <c r="K64"/>
      <c r="L64"/>
      <c r="M64"/>
      <c r="N64"/>
    </row>
    <row r="65" spans="9:9" customFormat="1" x14ac:dyDescent="0.25"/>
    <row r="66" spans="9:9" customFormat="1" x14ac:dyDescent="0.25"/>
    <row r="67" spans="9:9" customFormat="1" x14ac:dyDescent="0.25"/>
    <row r="68" spans="9:9" customFormat="1" x14ac:dyDescent="0.25"/>
    <row r="69" spans="9:9" customFormat="1" x14ac:dyDescent="0.25"/>
    <row r="70" spans="9:9" customFormat="1" x14ac:dyDescent="0.25"/>
    <row r="71" spans="9:9" customFormat="1" x14ac:dyDescent="0.25"/>
    <row r="72" spans="9:9" customFormat="1" x14ac:dyDescent="0.25">
      <c r="I72" s="134"/>
    </row>
    <row r="73" spans="9:9" customFormat="1" x14ac:dyDescent="0.25">
      <c r="I73" s="134"/>
    </row>
    <row r="74" spans="9:9" customFormat="1" x14ac:dyDescent="0.25"/>
    <row r="75" spans="9:9" customFormat="1" x14ac:dyDescent="0.25"/>
    <row r="76" spans="9:9" customFormat="1" x14ac:dyDescent="0.25"/>
    <row r="77" spans="9:9" customFormat="1" x14ac:dyDescent="0.25"/>
    <row r="78" spans="9:9" customFormat="1" x14ac:dyDescent="0.25"/>
    <row r="79" spans="9:9" customFormat="1" x14ac:dyDescent="0.25"/>
    <row r="80" spans="9:9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</sheetData>
  <sheetProtection sheet="1" selectLockedCells="1"/>
  <mergeCells count="11">
    <mergeCell ref="B22:J22"/>
    <mergeCell ref="C2:J2"/>
    <mergeCell ref="C15:I15"/>
    <mergeCell ref="B18:F19"/>
    <mergeCell ref="I18:J19"/>
    <mergeCell ref="C16:I16"/>
    <mergeCell ref="C4:H5"/>
    <mergeCell ref="D13:F13"/>
    <mergeCell ref="D11:F11"/>
    <mergeCell ref="D12:F12"/>
    <mergeCell ref="B21:J21"/>
  </mergeCells>
  <conditionalFormatting sqref="C7">
    <cfRule type="expression" dxfId="17" priority="52">
      <formula>IF($C$7="S",TRUE,)</formula>
    </cfRule>
    <cfRule type="expression" dxfId="16" priority="53">
      <formula>IF($C$7="K",TRUE)</formula>
    </cfRule>
  </conditionalFormatting>
  <conditionalFormatting sqref="C16:I16">
    <cfRule type="containsErrors" dxfId="15" priority="1">
      <formula>ISERROR(C16)</formula>
    </cfRule>
  </conditionalFormatting>
  <conditionalFormatting sqref="G8:G12">
    <cfRule type="expression" dxfId="14" priority="46">
      <formula>IF(G8="",TRUE)</formula>
    </cfRule>
  </conditionalFormatting>
  <conditionalFormatting sqref="H8">
    <cfRule type="cellIs" dxfId="13" priority="16" operator="lessThan">
      <formula>0</formula>
    </cfRule>
  </conditionalFormatting>
  <conditionalFormatting sqref="H12">
    <cfRule type="containsErrors" dxfId="12" priority="2">
      <formula>ISERROR(H12)</formula>
    </cfRule>
  </conditionalFormatting>
  <conditionalFormatting sqref="I5">
    <cfRule type="expression" dxfId="11" priority="5">
      <formula>IF($C$7="K",TRUE)</formula>
    </cfRule>
    <cfRule type="cellIs" dxfId="10" priority="6" operator="greaterThan">
      <formula>0</formula>
    </cfRule>
  </conditionalFormatting>
  <dataValidations xWindow="428" yWindow="529" count="6">
    <dataValidation type="custom" showInputMessage="1" showErrorMessage="1" error="ungültiger Eintrag" sqref="I5" xr:uid="{00000000-0002-0000-0000-000000000000}">
      <formula1>IF(AND(C7="S",TRUE),ISNUMBER(I5))</formula1>
    </dataValidation>
    <dataValidation type="custom" allowBlank="1" showInputMessage="1" showErrorMessage="1" error="Geben Sie bitte eine Zahl ein" sqref="G8 G11:G12" xr:uid="{00000000-0002-0000-0000-000001000000}">
      <formula1>ISNUMBER(G8)</formula1>
    </dataValidation>
    <dataValidation type="whole" allowBlank="1" showInputMessage="1" showErrorMessage="1" error="Bitte 0 oder 1 eingeben" sqref="G13" xr:uid="{00000000-0002-0000-0000-000002000000}">
      <formula1>0</formula1>
      <formula2>1</formula2>
    </dataValidation>
    <dataValidation type="custom" allowBlank="1" showErrorMessage="1" error="Geben Sie bitte eine Zahl ein" sqref="G10" xr:uid="{00000000-0002-0000-0000-000003000000}">
      <formula1>ISNUMBER(G10)</formula1>
    </dataValidation>
    <dataValidation type="whole" allowBlank="1" showInputMessage="1" showErrorMessage="1" error="Sie können nur ganze Jahre eingeben. Für Teiljahre wählen Sie bitte in der Laufzeit «Monate» anstelle von «Jahre». Siehe auch Hilfe Punkt 6. Eine Laufzeit mit der Eingabe 0 kann nicht berechnet werden." sqref="G9" xr:uid="{00000000-0002-0000-0000-000004000000}">
      <formula1>1</formula1>
      <formula2>10000</formula2>
    </dataValidation>
    <dataValidation allowBlank="1" showInputMessage="1" showErrorMessage="1" error="Nur S oder K zulässig" sqref="C8" xr:uid="{2CC6A52B-61A3-46A4-B878-48737C74F0BB}"/>
  </dataValidations>
  <printOptions horizontalCentered="1"/>
  <pageMargins left="0.51181102362204722" right="0.51181102362204722" top="0.70866141732283472" bottom="0.70866141732283472" header="0.51181102362204722" footer="0.70866141732283472"/>
  <pageSetup paperSize="9" fitToWidth="0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0" r:id="rId4" name="Scroll Bar 86">
              <controlPr defaultSize="0" autoPict="0" altText="Schalter für Inflation als Kaufkraftverlust oder Wert zur Erhaltung der Kaufkraft">
                <anchor moveWithCells="1">
                  <from>
                    <xdr:col>9</xdr:col>
                    <xdr:colOff>38100</xdr:colOff>
                    <xdr:row>11</xdr:row>
                    <xdr:rowOff>22860</xdr:rowOff>
                  </from>
                  <to>
                    <xdr:col>9</xdr:col>
                    <xdr:colOff>647700</xdr:colOff>
                    <xdr:row>11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" name="Scroll Bar 102">
              <controlPr defaultSize="0" autoPict="0" altText="Auswahl Laufzeit">
                <anchor moveWithCells="1">
                  <from>
                    <xdr:col>5</xdr:col>
                    <xdr:colOff>15240</xdr:colOff>
                    <xdr:row>8</xdr:row>
                    <xdr:rowOff>7620</xdr:rowOff>
                  </from>
                  <to>
                    <xdr:col>5</xdr:col>
                    <xdr:colOff>990600</xdr:colOff>
                    <xdr:row>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" name="Scroll Bar 104">
              <controlPr defaultSize="0" autoPict="0" altText="Auswahl Zahlung: jährlich, 1/2-jährlich, 1/4-jährlich, Monat">
                <anchor moveWithCells="1">
                  <from>
                    <xdr:col>5</xdr:col>
                    <xdr:colOff>15240</xdr:colOff>
                    <xdr:row>9</xdr:row>
                    <xdr:rowOff>7620</xdr:rowOff>
                  </from>
                  <to>
                    <xdr:col>5</xdr:col>
                    <xdr:colOff>990600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7" name="Scroll Bar 106">
              <controlPr defaultSize="0" autoPict="0">
                <anchor moveWithCells="1">
                  <from>
                    <xdr:col>5</xdr:col>
                    <xdr:colOff>22860</xdr:colOff>
                    <xdr:row>7</xdr:row>
                    <xdr:rowOff>7620</xdr:rowOff>
                  </from>
                  <to>
                    <xdr:col>5</xdr:col>
                    <xdr:colOff>998220</xdr:colOff>
                    <xdr:row>7</xdr:row>
                    <xdr:rowOff>259080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428" yWindow="529" count="1">
        <x14:dataValidation type="list" showDropDown="1" showInputMessage="1" showErrorMessage="1" error="Nur S oder K zulässig" xr:uid="{65D8CAD1-6488-4624-8101-35D8D3982909}">
          <x14:formula1>
            <xm:f>Formeln!$H$32:$H$33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indexed="49"/>
    <pageSetUpPr autoPageBreaks="0"/>
  </sheetPr>
  <dimension ref="A1:H611"/>
  <sheetViews>
    <sheetView showGridLines="0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baseColWidth="10" defaultColWidth="11.44140625" defaultRowHeight="13.2" x14ac:dyDescent="0.25"/>
  <cols>
    <col min="1" max="1" width="3.21875" style="13" customWidth="1"/>
    <col min="2" max="2" width="9.21875" style="21" customWidth="1"/>
    <col min="3" max="5" width="19.5546875" style="13" customWidth="1"/>
    <col min="6" max="6" width="19.21875" style="13" customWidth="1"/>
    <col min="7" max="7" width="32.21875" style="13" customWidth="1"/>
    <col min="8" max="8" width="20.6640625" style="13" bestFit="1" customWidth="1"/>
    <col min="9" max="16384" width="11.44140625" style="13"/>
  </cols>
  <sheetData>
    <row r="1" spans="1:8" ht="21" x14ac:dyDescent="0.4">
      <c r="B1" s="153" t="str">
        <f>Eingabe!C2</f>
        <v>Peter Muster, Mustergasse 25, 3000 Bern</v>
      </c>
      <c r="C1" s="154"/>
      <c r="D1" s="155"/>
      <c r="E1" s="190"/>
      <c r="F1" s="199"/>
    </row>
    <row r="2" spans="1:8" ht="27.6" customHeight="1" x14ac:dyDescent="0.4">
      <c r="A2" s="14"/>
      <c r="B2" s="15" t="str">
        <f>Eingabe!D7</f>
        <v>Sparrechner</v>
      </c>
      <c r="C2" s="16"/>
      <c r="D2" s="17"/>
      <c r="E2" s="18" t="s">
        <v>20</v>
      </c>
      <c r="F2" s="191" t="str">
        <f>Eingabe!I7</f>
        <v>Resultat mit Inflation</v>
      </c>
    </row>
    <row r="3" spans="1:8" x14ac:dyDescent="0.25">
      <c r="B3" s="156" t="str">
        <f>IF(Eingabe!C7="K","Jahreszinssatz","Jahreszinsatz | jährliche Teuerung")</f>
        <v>Jahreszinsatz | jährliche Teuerung</v>
      </c>
      <c r="C3" s="157"/>
      <c r="D3" s="158"/>
      <c r="E3" s="130">
        <f>Eingabe!H8</f>
        <v>0.05</v>
      </c>
      <c r="F3" s="133">
        <f>IF(Eingabe!C7="K",Eingabe!I8,Eingabe!I5)</f>
        <v>0.02</v>
      </c>
    </row>
    <row r="4" spans="1:8" x14ac:dyDescent="0.25">
      <c r="B4" s="159" t="str">
        <f>Formeln!J11</f>
        <v>Jahre</v>
      </c>
      <c r="C4" s="160"/>
      <c r="D4" s="161"/>
      <c r="E4" s="19">
        <f>IF(ISERROR(Eingabe!H9),0,ROUND(Eingabe!H9,2))</f>
        <v>10</v>
      </c>
      <c r="F4" s="20">
        <f>Eingabe!I9</f>
        <v>10</v>
      </c>
    </row>
    <row r="5" spans="1:8" x14ac:dyDescent="0.25">
      <c r="B5" s="156" t="str">
        <f>IF(Eingabe!C7="S",Formeln!J20,Formeln!K20)</f>
        <v>jährlich</v>
      </c>
      <c r="C5" s="157"/>
      <c r="D5" s="162"/>
      <c r="E5" s="131">
        <f>Eingabe!H10</f>
        <v>5000</v>
      </c>
      <c r="F5" s="132">
        <f>Eingabe!I10</f>
        <v>5000</v>
      </c>
    </row>
    <row r="6" spans="1:8" x14ac:dyDescent="0.25">
      <c r="B6" s="156" t="str">
        <f>Eingabe!D11</f>
        <v>Anfangskapital</v>
      </c>
      <c r="C6" s="157"/>
      <c r="D6" s="162"/>
      <c r="E6" s="19">
        <f>Eingabe!H11</f>
        <v>10000</v>
      </c>
      <c r="F6" s="20">
        <f>Eingabe!I11</f>
        <v>10000</v>
      </c>
    </row>
    <row r="7" spans="1:8" x14ac:dyDescent="0.25">
      <c r="B7" s="156" t="str">
        <f>Eingabe!D12</f>
        <v>Endkapital</v>
      </c>
      <c r="C7" s="157"/>
      <c r="D7" s="226" t="str">
        <f>IF(Eingabe!J12=1,"Restwert Infolge Kaufkraftverlust","Kapitalbedarf für Kaufkraftverlust")</f>
        <v>Restwert Infolge Kaufkraftverlust</v>
      </c>
      <c r="E7" s="135">
        <f>Eingabe!H12</f>
        <v>79178.408945518575</v>
      </c>
      <c r="F7" s="136">
        <f>Eingabe!I12</f>
        <v>64953.873165275931</v>
      </c>
      <c r="G7" s="195"/>
      <c r="H7" s="194"/>
    </row>
    <row r="8" spans="1:8" x14ac:dyDescent="0.25">
      <c r="B8" s="156" t="s">
        <v>34</v>
      </c>
      <c r="C8" s="157"/>
      <c r="D8" s="162"/>
      <c r="E8" s="19">
        <f>Eingabe!H13</f>
        <v>0</v>
      </c>
      <c r="F8" s="20">
        <f>Eingabe!I13</f>
        <v>0</v>
      </c>
    </row>
    <row r="9" spans="1:8" x14ac:dyDescent="0.25">
      <c r="C9" s="22"/>
      <c r="E9" s="52"/>
      <c r="F9" s="53"/>
    </row>
    <row r="10" spans="1:8" x14ac:dyDescent="0.25">
      <c r="A10" s="23"/>
      <c r="B10" s="26" t="s">
        <v>35</v>
      </c>
      <c r="C10" s="27" t="s">
        <v>32</v>
      </c>
      <c r="D10" s="28" t="s">
        <v>36</v>
      </c>
      <c r="E10" s="28" t="s">
        <v>33</v>
      </c>
      <c r="F10" s="28" t="str">
        <f>IF(Eingabe!C7="S","Sparguthaben","Restschuld")</f>
        <v>Sparguthaben</v>
      </c>
    </row>
    <row r="11" spans="1:8" x14ac:dyDescent="0.25">
      <c r="B11" s="138">
        <v>1</v>
      </c>
      <c r="C11" s="139">
        <f>$E$6</f>
        <v>10000</v>
      </c>
      <c r="D11" s="139">
        <f>$E$5</f>
        <v>5000</v>
      </c>
      <c r="E11" s="139">
        <f>IF($D$11="xxx","xxx",IF(AND($E$8=1,Eingabe!$C$7="S"),($C$11+$D$11)*$E$3/Formeln!$L$20,IF(AND($E$8=1,Eingabe!$C$7="K"),($C$11-$D$11)*$E$3/Formeln!$L$20,$C$11*$E$3/Formeln!$L$20)))</f>
        <v>500</v>
      </c>
      <c r="F11" s="189">
        <f>IF(Eingabe!$C$7="K",$C$11-$D$11+$E$11,SUM($C$11:$E$11))</f>
        <v>15500</v>
      </c>
    </row>
    <row r="12" spans="1:8" x14ac:dyDescent="0.25">
      <c r="B12" s="138">
        <f>IF(AND(Formeln!$I$11=2,B11&lt;$E$4/Formeln!$M$20),B11+1,IF(AND(Formeln!$I$11=1,B11&lt;$E$4*Formeln!$M$20),B11+1,"xxx"))</f>
        <v>2</v>
      </c>
      <c r="C12" s="139">
        <f>IF(B12="xxx","xxx",F11)</f>
        <v>15500</v>
      </c>
      <c r="D12" s="139">
        <f>IF(C12="xxx","xxx",D11)</f>
        <v>5000</v>
      </c>
      <c r="E12" s="139">
        <f>IF(D12="xxx","xxx",IF(AND($E$8=1,Eingabe!$C$7="S"),(C12+D12)*$E$3/Formeln!$L$20,IF(AND($E$8=1,Eingabe!$C$7="K"),(C12-D12)*$E$3/Formeln!$L$20,C12*$E$3/Formeln!$L$20)))</f>
        <v>775</v>
      </c>
      <c r="F12" s="139">
        <f>IF(Eingabe!$C$7="K",C12-D12+E12,SUM(C12:E12))</f>
        <v>21275</v>
      </c>
    </row>
    <row r="13" spans="1:8" x14ac:dyDescent="0.25">
      <c r="B13" s="138">
        <f>IF(AND(Formeln!$I$11=2,B12&lt;$E$4/Formeln!$M$20),B12+1,IF(AND(Formeln!$I$11=1,B12&lt;$E$4*Formeln!$M$20),B12+1,"xxx"))</f>
        <v>3</v>
      </c>
      <c r="C13" s="139">
        <f t="shared" ref="C13:C76" si="0">IF(B13="xxx","xxx",F12)</f>
        <v>21275</v>
      </c>
      <c r="D13" s="139">
        <f t="shared" ref="D13:D76" si="1">IF(C13="xxx","xxx",D12)</f>
        <v>5000</v>
      </c>
      <c r="E13" s="139">
        <f>IF(D13="xxx","xxx",IF(AND($E$8=1,Eingabe!$C$7="S"),(C13+D13)*$E$3/Formeln!$L$20,IF(AND($E$8=1,Eingabe!$C$7="K"),(C13-D13)*$E$3/Formeln!$L$20,C13*$E$3/Formeln!$L$20)))</f>
        <v>1063.75</v>
      </c>
      <c r="F13" s="139">
        <f>IF(Eingabe!$C$7="K",C13-D13+E13,SUM(C13:E13))</f>
        <v>27338.75</v>
      </c>
      <c r="G13" s="198"/>
    </row>
    <row r="14" spans="1:8" x14ac:dyDescent="0.25">
      <c r="B14" s="138">
        <f>IF(AND(Formeln!$I$11=2,B13&lt;$E$4/Formeln!$M$20),B13+1,IF(AND(Formeln!$I$11=1,B13&lt;$E$4*Formeln!$M$20),B13+1,"xxx"))</f>
        <v>4</v>
      </c>
      <c r="C14" s="139">
        <f t="shared" si="0"/>
        <v>27338.75</v>
      </c>
      <c r="D14" s="139">
        <f t="shared" si="1"/>
        <v>5000</v>
      </c>
      <c r="E14" s="139">
        <f>IF(D14="xxx","xxx",IF(AND($E$8=1,Eingabe!$C$7="S"),(C14+D14)*$E$3/Formeln!$L$20,IF(AND($E$8=1,Eingabe!$C$7="K"),(C14-D14)*$E$3/Formeln!$L$20,C14*$E$3/Formeln!$L$20)))</f>
        <v>1366.9375</v>
      </c>
      <c r="F14" s="139">
        <f>IF(Eingabe!$C$7="K",C14-D14+E14,SUM(C14:E14))</f>
        <v>33705.6875</v>
      </c>
    </row>
    <row r="15" spans="1:8" x14ac:dyDescent="0.25">
      <c r="B15" s="138">
        <f>IF(AND(Formeln!$I$11=2,B14&lt;$E$4/Formeln!$M$20),B14+1,IF(AND(Formeln!$I$11=1,B14&lt;$E$4*Formeln!$M$20),B14+1,"xxx"))</f>
        <v>5</v>
      </c>
      <c r="C15" s="139">
        <f t="shared" si="0"/>
        <v>33705.6875</v>
      </c>
      <c r="D15" s="139">
        <f t="shared" si="1"/>
        <v>5000</v>
      </c>
      <c r="E15" s="139">
        <f>IF(D15="xxx","xxx",IF(AND($E$8=1,Eingabe!$C$7="S"),(C15+D15)*$E$3/Formeln!$L$20,IF(AND($E$8=1,Eingabe!$C$7="K"),(C15-D15)*$E$3/Formeln!$L$20,C15*$E$3/Formeln!$L$20)))</f>
        <v>1685.2843750000002</v>
      </c>
      <c r="F15" s="139">
        <f>IF(Eingabe!$C$7="K",C15-D15+E15,SUM(C15:E15))</f>
        <v>40390.971875000003</v>
      </c>
    </row>
    <row r="16" spans="1:8" x14ac:dyDescent="0.25">
      <c r="B16" s="138">
        <f>IF(AND(Formeln!$I$11=2,B15&lt;$E$4/Formeln!$M$20),B15+1,IF(AND(Formeln!$I$11=1,B15&lt;$E$4*Formeln!$M$20),B15+1,"xxx"))</f>
        <v>6</v>
      </c>
      <c r="C16" s="139">
        <f t="shared" si="0"/>
        <v>40390.971875000003</v>
      </c>
      <c r="D16" s="139">
        <f t="shared" si="1"/>
        <v>5000</v>
      </c>
      <c r="E16" s="139">
        <f>IF(D16="xxx","xxx",IF(AND($E$8=1,Eingabe!$C$7="S"),(C16+D16)*$E$3/Formeln!$L$20,IF(AND($E$8=1,Eingabe!$C$7="K"),(C16-D16)*$E$3/Formeln!$L$20,C16*$E$3/Formeln!$L$20)))</f>
        <v>2019.5485937500002</v>
      </c>
      <c r="F16" s="139">
        <f>IF(Eingabe!$C$7="K",C16-D16+E16,SUM(C16:E16))</f>
        <v>47410.520468750001</v>
      </c>
    </row>
    <row r="17" spans="2:7" x14ac:dyDescent="0.25">
      <c r="B17" s="138">
        <f>IF(AND(Formeln!$I$11=2,B16&lt;$E$4/Formeln!$M$20),B16+1,IF(AND(Formeln!$I$11=1,B16&lt;$E$4*Formeln!$M$20),B16+1,"xxx"))</f>
        <v>7</v>
      </c>
      <c r="C17" s="139">
        <f t="shared" si="0"/>
        <v>47410.520468750001</v>
      </c>
      <c r="D17" s="139">
        <f t="shared" si="1"/>
        <v>5000</v>
      </c>
      <c r="E17" s="139">
        <f>IF(D17="xxx","xxx",IF(AND($E$8=1,Eingabe!$C$7="S"),(C17+D17)*$E$3/Formeln!$L$20,IF(AND($E$8=1,Eingabe!$C$7="K"),(C17-D17)*$E$3/Formeln!$L$20,C17*$E$3/Formeln!$L$20)))</f>
        <v>2370.5260234375</v>
      </c>
      <c r="F17" s="139">
        <f>IF(Eingabe!$C$7="K",C17-D17+E17,SUM(C17:E17))</f>
        <v>54781.046492187503</v>
      </c>
    </row>
    <row r="18" spans="2:7" x14ac:dyDescent="0.25">
      <c r="B18" s="138">
        <f>IF(AND(Formeln!$I$11=2,B17&lt;$E$4/Formeln!$M$20),B17+1,IF(AND(Formeln!$I$11=1,B17&lt;$E$4*Formeln!$M$20),B17+1,"xxx"))</f>
        <v>8</v>
      </c>
      <c r="C18" s="139">
        <f t="shared" si="0"/>
        <v>54781.046492187503</v>
      </c>
      <c r="D18" s="139">
        <f t="shared" si="1"/>
        <v>5000</v>
      </c>
      <c r="E18" s="139">
        <f>IF(D18="xxx","xxx",IF(AND($E$8=1,Eingabe!$C$7="S"),(C18+D18)*$E$3/Formeln!$L$20,IF(AND($E$8=1,Eingabe!$C$7="K"),(C18-D18)*$E$3/Formeln!$L$20,C18*$E$3/Formeln!$L$20)))</f>
        <v>2739.0523246093753</v>
      </c>
      <c r="F18" s="139">
        <f>IF(Eingabe!$C$7="K",C18-D18+E18,SUM(C18:E18))</f>
        <v>62520.098816796875</v>
      </c>
    </row>
    <row r="19" spans="2:7" x14ac:dyDescent="0.25">
      <c r="B19" s="138">
        <f>IF(AND(Formeln!$I$11=2,B18&lt;$E$4/Formeln!$M$20),B18+1,IF(AND(Formeln!$I$11=1,B18&lt;$E$4*Formeln!$M$20),B18+1,"xxx"))</f>
        <v>9</v>
      </c>
      <c r="C19" s="139">
        <f t="shared" si="0"/>
        <v>62520.098816796875</v>
      </c>
      <c r="D19" s="139">
        <f t="shared" si="1"/>
        <v>5000</v>
      </c>
      <c r="E19" s="139">
        <f>IF(D19="xxx","xxx",IF(AND($E$8=1,Eingabe!$C$7="S"),(C19+D19)*$E$3/Formeln!$L$20,IF(AND($E$8=1,Eingabe!$C$7="K"),(C19-D19)*$E$3/Formeln!$L$20,C19*$E$3/Formeln!$L$20)))</f>
        <v>3126.004940839844</v>
      </c>
      <c r="F19" s="139">
        <f>IF(Eingabe!$C$7="K",C19-D19+E19,SUM(C19:E19))</f>
        <v>70646.103757636723</v>
      </c>
    </row>
    <row r="20" spans="2:7" x14ac:dyDescent="0.25">
      <c r="B20" s="138">
        <f>IF(AND(Formeln!$I$11=2,B19&lt;$E$4/Formeln!$M$20),B19+1,IF(AND(Formeln!$I$11=1,B19&lt;$E$4*Formeln!$M$20),B19+1,"xxx"))</f>
        <v>10</v>
      </c>
      <c r="C20" s="139">
        <f t="shared" si="0"/>
        <v>70646.103757636723</v>
      </c>
      <c r="D20" s="139">
        <f t="shared" si="1"/>
        <v>5000</v>
      </c>
      <c r="E20" s="139">
        <f>IF(D20="xxx","xxx",IF(AND($E$8=1,Eingabe!$C$7="S"),(C20+D20)*$E$3/Formeln!$L$20,IF(AND($E$8=1,Eingabe!$C$7="K"),(C20-D20)*$E$3/Formeln!$L$20,C20*$E$3/Formeln!$L$20)))</f>
        <v>3532.3051878818364</v>
      </c>
      <c r="F20" s="139">
        <f>IF(Eingabe!$C$7="K",C20-D20+E20,SUM(C20:E20))</f>
        <v>79178.40894551856</v>
      </c>
    </row>
    <row r="21" spans="2:7" x14ac:dyDescent="0.25">
      <c r="B21" s="138" t="str">
        <f>IF(AND(Formeln!$I$11=2,B20&lt;$E$4/Formeln!$M$20),B20+1,IF(AND(Formeln!$I$11=1,B20&lt;$E$4*Formeln!$M$20),B20+1,"xxx"))</f>
        <v>xxx</v>
      </c>
      <c r="C21" s="139" t="str">
        <f t="shared" si="0"/>
        <v>xxx</v>
      </c>
      <c r="D21" s="139" t="str">
        <f t="shared" si="1"/>
        <v>xxx</v>
      </c>
      <c r="E21" s="139" t="str">
        <f>IF(D21="xxx","xxx",IF(AND($E$8=1,Eingabe!$C$7="S"),(C21+D21)*$E$3/Formeln!$L$20,IF(AND($E$8=1,Eingabe!$C$7="K"),(C21-D21)*$E$3/Formeln!$L$20,C21*$E$3/Formeln!$L$20)))</f>
        <v>xxx</v>
      </c>
      <c r="F21" s="139">
        <f>IF(Eingabe!$C$7="K",C21-D21+E21,SUM(C21:E21))</f>
        <v>0</v>
      </c>
    </row>
    <row r="22" spans="2:7" x14ac:dyDescent="0.25">
      <c r="B22" s="138" t="str">
        <f>IF(AND(Formeln!$I$11=2,B21&lt;$E$4/Formeln!$M$20),B21+1,IF(AND(Formeln!$I$11=1,B21&lt;$E$4*Formeln!$M$20),B21+1,"xxx"))</f>
        <v>xxx</v>
      </c>
      <c r="C22" s="139" t="str">
        <f t="shared" si="0"/>
        <v>xxx</v>
      </c>
      <c r="D22" s="139" t="str">
        <f t="shared" si="1"/>
        <v>xxx</v>
      </c>
      <c r="E22" s="139" t="str">
        <f>IF(D22="xxx","xxx",IF(AND($E$8=1,Eingabe!$C$7="S"),(C22+D22)*$E$3/Formeln!$L$20,IF(AND($E$8=1,Eingabe!$C$7="K"),(C22-D22)*$E$3/Formeln!$L$20,C22*$E$3/Formeln!$L$20)))</f>
        <v>xxx</v>
      </c>
      <c r="F22" s="139">
        <f>IF(Eingabe!$C$7="K",C22-D22+E22,SUM(C22:E22))</f>
        <v>0</v>
      </c>
      <c r="G22" s="198"/>
    </row>
    <row r="23" spans="2:7" x14ac:dyDescent="0.25">
      <c r="B23" s="138" t="str">
        <f>IF(AND(Formeln!$I$11=2,B22&lt;$E$4/Formeln!$M$20),B22+1,IF(AND(Formeln!$I$11=1,B22&lt;$E$4*Formeln!$M$20),B22+1,"xxx"))</f>
        <v>xxx</v>
      </c>
      <c r="C23" s="139" t="str">
        <f t="shared" si="0"/>
        <v>xxx</v>
      </c>
      <c r="D23" s="139" t="str">
        <f t="shared" si="1"/>
        <v>xxx</v>
      </c>
      <c r="E23" s="139" t="str">
        <f>IF(D23="xxx","xxx",IF(AND($E$8=1,Eingabe!$C$7="S"),(C23+D23)*$E$3/Formeln!$L$20,IF(AND($E$8=1,Eingabe!$C$7="K"),(C23-D23)*$E$3/Formeln!$L$20,C23*$E$3/Formeln!$L$20)))</f>
        <v>xxx</v>
      </c>
      <c r="F23" s="139">
        <f>IF(Eingabe!$C$7="K",C23-D23+E23,SUM(C23:E23))</f>
        <v>0</v>
      </c>
    </row>
    <row r="24" spans="2:7" x14ac:dyDescent="0.25">
      <c r="B24" s="138" t="str">
        <f>IF(AND(Formeln!$I$11=2,B23&lt;$E$4/Formeln!$M$20),B23+1,IF(AND(Formeln!$I$11=1,B23&lt;$E$4*Formeln!$M$20),B23+1,"xxx"))</f>
        <v>xxx</v>
      </c>
      <c r="C24" s="139" t="str">
        <f t="shared" si="0"/>
        <v>xxx</v>
      </c>
      <c r="D24" s="139" t="str">
        <f t="shared" si="1"/>
        <v>xxx</v>
      </c>
      <c r="E24" s="139" t="str">
        <f>IF(D24="xxx","xxx",IF(AND($E$8=1,Eingabe!$C$7="S"),(C24+D24)*$E$3/Formeln!$L$20,IF(AND($E$8=1,Eingabe!$C$7="K"),(C24-D24)*$E$3/Formeln!$L$20,C24*$E$3/Formeln!$L$20)))</f>
        <v>xxx</v>
      </c>
      <c r="F24" s="139">
        <f>IF(Eingabe!$C$7="K",C24-D24+E24,SUM(C24:E24))</f>
        <v>0</v>
      </c>
    </row>
    <row r="25" spans="2:7" x14ac:dyDescent="0.25">
      <c r="B25" s="138" t="str">
        <f>IF(AND(Formeln!$I$11=2,B24&lt;$E$4/Formeln!$M$20),B24+1,IF(AND(Formeln!$I$11=1,B24&lt;$E$4*Formeln!$M$20),B24+1,"xxx"))</f>
        <v>xxx</v>
      </c>
      <c r="C25" s="139" t="str">
        <f t="shared" si="0"/>
        <v>xxx</v>
      </c>
      <c r="D25" s="139" t="str">
        <f t="shared" si="1"/>
        <v>xxx</v>
      </c>
      <c r="E25" s="139" t="str">
        <f>IF(D25="xxx","xxx",IF(AND($E$8=1,Eingabe!$C$7="S"),(C25+D25)*$E$3/Formeln!$L$20,IF(AND($E$8=1,Eingabe!$C$7="K"),(C25-D25)*$E$3/Formeln!$L$20,C25*$E$3/Formeln!$L$20)))</f>
        <v>xxx</v>
      </c>
      <c r="F25" s="139">
        <f>IF(Eingabe!$C$7="K",C25-D25+E25,SUM(C25:E25))</f>
        <v>0</v>
      </c>
      <c r="G25" s="198"/>
    </row>
    <row r="26" spans="2:7" x14ac:dyDescent="0.25">
      <c r="B26" s="138" t="str">
        <f>IF(AND(Formeln!$I$11=2,B25&lt;$E$4/Formeln!$M$20),B25+1,IF(AND(Formeln!$I$11=1,B25&lt;$E$4*Formeln!$M$20),B25+1,"xxx"))</f>
        <v>xxx</v>
      </c>
      <c r="C26" s="139" t="str">
        <f t="shared" si="0"/>
        <v>xxx</v>
      </c>
      <c r="D26" s="139" t="str">
        <f t="shared" si="1"/>
        <v>xxx</v>
      </c>
      <c r="E26" s="139" t="str">
        <f>IF(D26="xxx","xxx",IF(AND($E$8=1,Eingabe!$C$7="S"),(C26+D26)*$E$3/Formeln!$L$20,IF(AND($E$8=1,Eingabe!$C$7="K"),(C26-D26)*$E$3/Formeln!$L$20,C26*$E$3/Formeln!$L$20)))</f>
        <v>xxx</v>
      </c>
      <c r="F26" s="139">
        <f>IF(Eingabe!$C$7="K",C26-D26+E26,SUM(C26:E26))</f>
        <v>0</v>
      </c>
    </row>
    <row r="27" spans="2:7" x14ac:dyDescent="0.25">
      <c r="B27" s="138" t="str">
        <f>IF(AND(Formeln!$I$11=2,B26&lt;$E$4/Formeln!$M$20),B26+1,IF(AND(Formeln!$I$11=1,B26&lt;$E$4*Formeln!$M$20),B26+1,"xxx"))</f>
        <v>xxx</v>
      </c>
      <c r="C27" s="139" t="str">
        <f t="shared" si="0"/>
        <v>xxx</v>
      </c>
      <c r="D27" s="139" t="str">
        <f t="shared" si="1"/>
        <v>xxx</v>
      </c>
      <c r="E27" s="139" t="str">
        <f>IF(D27="xxx","xxx",IF(AND($E$8=1,Eingabe!$C$7="S"),(C27+D27)*$E$3/Formeln!$L$20,IF(AND($E$8=1,Eingabe!$C$7="K"),(C27-D27)*$E$3/Formeln!$L$20,C27*$E$3/Formeln!$L$20)))</f>
        <v>xxx</v>
      </c>
      <c r="F27" s="139">
        <f>IF(Eingabe!$C$7="K",C27-D27+E27,SUM(C27:E27))</f>
        <v>0</v>
      </c>
    </row>
    <row r="28" spans="2:7" x14ac:dyDescent="0.25">
      <c r="B28" s="138" t="str">
        <f>IF(AND(Formeln!$I$11=2,B27&lt;$E$4/Formeln!$M$20),B27+1,IF(AND(Formeln!$I$11=1,B27&lt;$E$4*Formeln!$M$20),B27+1,"xxx"))</f>
        <v>xxx</v>
      </c>
      <c r="C28" s="139" t="str">
        <f t="shared" si="0"/>
        <v>xxx</v>
      </c>
      <c r="D28" s="139" t="str">
        <f t="shared" si="1"/>
        <v>xxx</v>
      </c>
      <c r="E28" s="139" t="str">
        <f>IF(D28="xxx","xxx",IF(AND($E$8=1,Eingabe!$C$7="S"),(C28+D28)*$E$3/Formeln!$L$20,IF(AND($E$8=1,Eingabe!$C$7="K"),(C28-D28)*$E$3/Formeln!$L$20,C28*$E$3/Formeln!$L$20)))</f>
        <v>xxx</v>
      </c>
      <c r="F28" s="139">
        <f>IF(Eingabe!$C$7="K",C28-D28+E28,SUM(C28:E28))</f>
        <v>0</v>
      </c>
    </row>
    <row r="29" spans="2:7" x14ac:dyDescent="0.25">
      <c r="B29" s="138" t="str">
        <f>IF(AND(Formeln!$I$11=2,B28&lt;$E$4/Formeln!$M$20),B28+1,IF(AND(Formeln!$I$11=1,B28&lt;$E$4*Formeln!$M$20),B28+1,"xxx"))</f>
        <v>xxx</v>
      </c>
      <c r="C29" s="139" t="str">
        <f t="shared" si="0"/>
        <v>xxx</v>
      </c>
      <c r="D29" s="139" t="str">
        <f t="shared" si="1"/>
        <v>xxx</v>
      </c>
      <c r="E29" s="139" t="str">
        <f>IF(D29="xxx","xxx",IF(AND($E$8=1,Eingabe!$C$7="S"),(C29+D29)*$E$3/Formeln!$L$20,IF(AND($E$8=1,Eingabe!$C$7="K"),(C29-D29)*$E$3/Formeln!$L$20,C29*$E$3/Formeln!$L$20)))</f>
        <v>xxx</v>
      </c>
      <c r="F29" s="139">
        <f>IF(Eingabe!$C$7="K",C29-D29+E29,SUM(C29:E29))</f>
        <v>0</v>
      </c>
    </row>
    <row r="30" spans="2:7" x14ac:dyDescent="0.25">
      <c r="B30" s="138" t="str">
        <f>IF(AND(Formeln!$I$11=2,B29&lt;$E$4/Formeln!$M$20),B29+1,IF(AND(Formeln!$I$11=1,B29&lt;$E$4*Formeln!$M$20),B29+1,"xxx"))</f>
        <v>xxx</v>
      </c>
      <c r="C30" s="139" t="str">
        <f t="shared" si="0"/>
        <v>xxx</v>
      </c>
      <c r="D30" s="139" t="str">
        <f t="shared" si="1"/>
        <v>xxx</v>
      </c>
      <c r="E30" s="139" t="str">
        <f>IF(D30="xxx","xxx",IF(AND($E$8=1,Eingabe!$C$7="S"),(C30+D30)*$E$3/Formeln!$L$20,IF(AND($E$8=1,Eingabe!$C$7="K"),(C30-D30)*$E$3/Formeln!$L$20,C30*$E$3/Formeln!$L$20)))</f>
        <v>xxx</v>
      </c>
      <c r="F30" s="139">
        <f>IF(Eingabe!$C$7="K",C30-D30+E30,SUM(C30:E30))</f>
        <v>0</v>
      </c>
    </row>
    <row r="31" spans="2:7" x14ac:dyDescent="0.25">
      <c r="B31" s="138" t="str">
        <f>IF(AND(Formeln!$I$11=2,B30&lt;$E$4/Formeln!$M$20),B30+1,IF(AND(Formeln!$I$11=1,B30&lt;$E$4*Formeln!$M$20),B30+1,"xxx"))</f>
        <v>xxx</v>
      </c>
      <c r="C31" s="139" t="str">
        <f t="shared" si="0"/>
        <v>xxx</v>
      </c>
      <c r="D31" s="139" t="str">
        <f t="shared" si="1"/>
        <v>xxx</v>
      </c>
      <c r="E31" s="139" t="str">
        <f>IF(D31="xxx","xxx",IF(AND($E$8=1,Eingabe!$C$7="S"),(C31+D31)*$E$3/Formeln!$L$20,IF(AND($E$8=1,Eingabe!$C$7="K"),(C31-D31)*$E$3/Formeln!$L$20,C31*$E$3/Formeln!$L$20)))</f>
        <v>xxx</v>
      </c>
      <c r="F31" s="139">
        <f>IF(Eingabe!$C$7="K",C31-D31+E31,SUM(C31:E31))</f>
        <v>0</v>
      </c>
    </row>
    <row r="32" spans="2:7" x14ac:dyDescent="0.25">
      <c r="B32" s="138" t="str">
        <f>IF(AND(Formeln!$I$11=2,B31&lt;$E$4/Formeln!$M$20),B31+1,IF(AND(Formeln!$I$11=1,B31&lt;$E$4*Formeln!$M$20),B31+1,"xxx"))</f>
        <v>xxx</v>
      </c>
      <c r="C32" s="139" t="str">
        <f t="shared" si="0"/>
        <v>xxx</v>
      </c>
      <c r="D32" s="139" t="str">
        <f t="shared" si="1"/>
        <v>xxx</v>
      </c>
      <c r="E32" s="139" t="str">
        <f>IF(D32="xxx","xxx",IF(AND($E$8=1,Eingabe!$C$7="S"),(C32+D32)*$E$3/Formeln!$L$20,IF(AND($E$8=1,Eingabe!$C$7="K"),(C32-D32)*$E$3/Formeln!$L$20,C32*$E$3/Formeln!$L$20)))</f>
        <v>xxx</v>
      </c>
      <c r="F32" s="139">
        <f>IF(Eingabe!$C$7="K",C32-D32+E32,SUM(C32:E32))</f>
        <v>0</v>
      </c>
    </row>
    <row r="33" spans="2:6" x14ac:dyDescent="0.25">
      <c r="B33" s="138" t="str">
        <f>IF(AND(Formeln!$I$11=2,B32&lt;$E$4/Formeln!$M$20),B32+1,IF(AND(Formeln!$I$11=1,B32&lt;$E$4*Formeln!$M$20),B32+1,"xxx"))</f>
        <v>xxx</v>
      </c>
      <c r="C33" s="139" t="str">
        <f t="shared" si="0"/>
        <v>xxx</v>
      </c>
      <c r="D33" s="139" t="str">
        <f t="shared" si="1"/>
        <v>xxx</v>
      </c>
      <c r="E33" s="139" t="str">
        <f>IF(D33="xxx","xxx",IF(AND($E$8=1,Eingabe!$C$7="S"),(C33+D33)*$E$3/Formeln!$L$20,IF(AND($E$8=1,Eingabe!$C$7="K"),(C33-D33)*$E$3/Formeln!$L$20,C33*$E$3/Formeln!$L$20)))</f>
        <v>xxx</v>
      </c>
      <c r="F33" s="139">
        <f>IF(Eingabe!$C$7="K",C33-D33+E33,SUM(C33:E33))</f>
        <v>0</v>
      </c>
    </row>
    <row r="34" spans="2:6" x14ac:dyDescent="0.25">
      <c r="B34" s="138" t="str">
        <f>IF(AND(Formeln!$I$11=2,B33&lt;$E$4/Formeln!$M$20),B33+1,IF(AND(Formeln!$I$11=1,B33&lt;$E$4*Formeln!$M$20),B33+1,"xxx"))</f>
        <v>xxx</v>
      </c>
      <c r="C34" s="139" t="str">
        <f t="shared" si="0"/>
        <v>xxx</v>
      </c>
      <c r="D34" s="139" t="str">
        <f t="shared" si="1"/>
        <v>xxx</v>
      </c>
      <c r="E34" s="139" t="str">
        <f>IF(D34="xxx","xxx",IF(AND($E$8=1,Eingabe!$C$7="S"),(C34+D34)*$E$3/Formeln!$L$20,IF(AND($E$8=1,Eingabe!$C$7="K"),(C34-D34)*$E$3/Formeln!$L$20,C34*$E$3/Formeln!$L$20)))</f>
        <v>xxx</v>
      </c>
      <c r="F34" s="139">
        <f>IF(Eingabe!$C$7="K",C34-D34+E34,SUM(C34:E34))</f>
        <v>0</v>
      </c>
    </row>
    <row r="35" spans="2:6" x14ac:dyDescent="0.25">
      <c r="B35" s="138" t="str">
        <f>IF(AND(Formeln!$I$11=2,B34&lt;$E$4/Formeln!$M$20),B34+1,IF(AND(Formeln!$I$11=1,B34&lt;$E$4*Formeln!$M$20),B34+1,"xxx"))</f>
        <v>xxx</v>
      </c>
      <c r="C35" s="139" t="str">
        <f t="shared" si="0"/>
        <v>xxx</v>
      </c>
      <c r="D35" s="139" t="str">
        <f t="shared" si="1"/>
        <v>xxx</v>
      </c>
      <c r="E35" s="139" t="str">
        <f>IF(D35="xxx","xxx",IF(AND($E$8=1,Eingabe!$C$7="S"),(C35+D35)*$E$3/Formeln!$L$20,IF(AND($E$8=1,Eingabe!$C$7="K"),(C35-D35)*$E$3/Formeln!$L$20,C35*$E$3/Formeln!$L$20)))</f>
        <v>xxx</v>
      </c>
      <c r="F35" s="139">
        <f>IF(Eingabe!$C$7="K",C35-D35+E35,SUM(C35:E35))</f>
        <v>0</v>
      </c>
    </row>
    <row r="36" spans="2:6" x14ac:dyDescent="0.25">
      <c r="B36" s="138" t="str">
        <f>IF(AND(Formeln!$I$11=2,B35&lt;$E$4/Formeln!$M$20),B35+1,IF(AND(Formeln!$I$11=1,B35&lt;$E$4*Formeln!$M$20),B35+1,"xxx"))</f>
        <v>xxx</v>
      </c>
      <c r="C36" s="139" t="str">
        <f t="shared" si="0"/>
        <v>xxx</v>
      </c>
      <c r="D36" s="139" t="str">
        <f t="shared" si="1"/>
        <v>xxx</v>
      </c>
      <c r="E36" s="139" t="str">
        <f>IF(D36="xxx","xxx",IF(AND($E$8=1,Eingabe!$C$7="S"),(C36+D36)*$E$3/Formeln!$L$20,IF(AND($E$8=1,Eingabe!$C$7="K"),(C36-D36)*$E$3/Formeln!$L$20,C36*$E$3/Formeln!$L$20)))</f>
        <v>xxx</v>
      </c>
      <c r="F36" s="139">
        <f>IF(Eingabe!$C$7="K",C36-D36+E36,SUM(C36:E36))</f>
        <v>0</v>
      </c>
    </row>
    <row r="37" spans="2:6" x14ac:dyDescent="0.25">
      <c r="B37" s="138" t="str">
        <f>IF(AND(Formeln!$I$11=2,B36&lt;$E$4/Formeln!$M$20),B36+1,IF(AND(Formeln!$I$11=1,B36&lt;$E$4*Formeln!$M$20),B36+1,"xxx"))</f>
        <v>xxx</v>
      </c>
      <c r="C37" s="139" t="str">
        <f t="shared" si="0"/>
        <v>xxx</v>
      </c>
      <c r="D37" s="139" t="str">
        <f t="shared" si="1"/>
        <v>xxx</v>
      </c>
      <c r="E37" s="139" t="str">
        <f>IF(D37="xxx","xxx",IF(AND($E$8=1,Eingabe!$C$7="S"),(C37+D37)*$E$3/Formeln!$L$20,IF(AND($E$8=1,Eingabe!$C$7="K"),(C37-D37)*$E$3/Formeln!$L$20,C37*$E$3/Formeln!$L$20)))</f>
        <v>xxx</v>
      </c>
      <c r="F37" s="139">
        <f>IF(Eingabe!$C$7="K",C37-D37+E37,SUM(C37:E37))</f>
        <v>0</v>
      </c>
    </row>
    <row r="38" spans="2:6" x14ac:dyDescent="0.25">
      <c r="B38" s="138" t="str">
        <f>IF(AND(Formeln!$I$11=2,B37&lt;$E$4/Formeln!$M$20),B37+1,IF(AND(Formeln!$I$11=1,B37&lt;$E$4*Formeln!$M$20),B37+1,"xxx"))</f>
        <v>xxx</v>
      </c>
      <c r="C38" s="139" t="str">
        <f t="shared" si="0"/>
        <v>xxx</v>
      </c>
      <c r="D38" s="139" t="str">
        <f t="shared" si="1"/>
        <v>xxx</v>
      </c>
      <c r="E38" s="139" t="str">
        <f>IF(D38="xxx","xxx",IF(AND($E$8=1,Eingabe!$C$7="S"),(C38+D38)*$E$3/Formeln!$L$20,IF(AND($E$8=1,Eingabe!$C$7="K"),(C38-D38)*$E$3/Formeln!$L$20,C38*$E$3/Formeln!$L$20)))</f>
        <v>xxx</v>
      </c>
      <c r="F38" s="139">
        <f>IF(Eingabe!$C$7="K",C38-D38+E38,SUM(C38:E38))</f>
        <v>0</v>
      </c>
    </row>
    <row r="39" spans="2:6" x14ac:dyDescent="0.25">
      <c r="B39" s="138" t="str">
        <f>IF(AND(Formeln!$I$11=2,B38&lt;$E$4/Formeln!$M$20),B38+1,IF(AND(Formeln!$I$11=1,B38&lt;$E$4*Formeln!$M$20),B38+1,"xxx"))</f>
        <v>xxx</v>
      </c>
      <c r="C39" s="139" t="str">
        <f t="shared" si="0"/>
        <v>xxx</v>
      </c>
      <c r="D39" s="139" t="str">
        <f t="shared" si="1"/>
        <v>xxx</v>
      </c>
      <c r="E39" s="139" t="str">
        <f>IF(D39="xxx","xxx",IF(AND($E$8=1,Eingabe!$C$7="S"),(C39+D39)*$E$3/Formeln!$L$20,IF(AND($E$8=1,Eingabe!$C$7="K"),(C39-D39)*$E$3/Formeln!$L$20,C39*$E$3/Formeln!$L$20)))</f>
        <v>xxx</v>
      </c>
      <c r="F39" s="139">
        <f>IF(Eingabe!$C$7="K",C39-D39+E39,SUM(C39:E39))</f>
        <v>0</v>
      </c>
    </row>
    <row r="40" spans="2:6" x14ac:dyDescent="0.25">
      <c r="B40" s="138" t="str">
        <f>IF(AND(Formeln!$I$11=2,B39&lt;$E$4/Formeln!$M$20),B39+1,IF(AND(Formeln!$I$11=1,B39&lt;$E$4*Formeln!$M$20),B39+1,"xxx"))</f>
        <v>xxx</v>
      </c>
      <c r="C40" s="139" t="str">
        <f t="shared" si="0"/>
        <v>xxx</v>
      </c>
      <c r="D40" s="139" t="str">
        <f t="shared" si="1"/>
        <v>xxx</v>
      </c>
      <c r="E40" s="139" t="str">
        <f>IF(D40="xxx","xxx",IF(AND($E$8=1,Eingabe!$C$7="S"),(C40+D40)*$E$3/Formeln!$L$20,IF(AND($E$8=1,Eingabe!$C$7="K"),(C40-D40)*$E$3/Formeln!$L$20,C40*$E$3/Formeln!$L$20)))</f>
        <v>xxx</v>
      </c>
      <c r="F40" s="139">
        <f>IF(Eingabe!$C$7="K",C40-D40+E40,SUM(C40:E40))</f>
        <v>0</v>
      </c>
    </row>
    <row r="41" spans="2:6" x14ac:dyDescent="0.25">
      <c r="B41" s="138" t="str">
        <f>IF(AND(Formeln!$I$11=2,B40&lt;$E$4/Formeln!$M$20),B40+1,IF(AND(Formeln!$I$11=1,B40&lt;$E$4*Formeln!$M$20),B40+1,"xxx"))</f>
        <v>xxx</v>
      </c>
      <c r="C41" s="139" t="str">
        <f t="shared" si="0"/>
        <v>xxx</v>
      </c>
      <c r="D41" s="139" t="str">
        <f t="shared" si="1"/>
        <v>xxx</v>
      </c>
      <c r="E41" s="139" t="str">
        <f>IF(D41="xxx","xxx",IF(AND($E$8=1,Eingabe!$C$7="S"),(C41+D41)*$E$3/Formeln!$L$20,IF(AND($E$8=1,Eingabe!$C$7="K"),(C41-D41)*$E$3/Formeln!$L$20,C41*$E$3/Formeln!$L$20)))</f>
        <v>xxx</v>
      </c>
      <c r="F41" s="139">
        <f>IF(Eingabe!$C$7="K",C41-D41+E41,SUM(C41:E41))</f>
        <v>0</v>
      </c>
    </row>
    <row r="42" spans="2:6" x14ac:dyDescent="0.25">
      <c r="B42" s="138" t="str">
        <f>IF(AND(Formeln!$I$11=2,B41&lt;$E$4/Formeln!$M$20),B41+1,IF(AND(Formeln!$I$11=1,B41&lt;$E$4*Formeln!$M$20),B41+1,"xxx"))</f>
        <v>xxx</v>
      </c>
      <c r="C42" s="139" t="str">
        <f t="shared" si="0"/>
        <v>xxx</v>
      </c>
      <c r="D42" s="139" t="str">
        <f t="shared" si="1"/>
        <v>xxx</v>
      </c>
      <c r="E42" s="139" t="str">
        <f>IF(D42="xxx","xxx",IF(AND($E$8=1,Eingabe!$C$7="S"),(C42+D42)*$E$3/Formeln!$L$20,IF(AND($E$8=1,Eingabe!$C$7="K"),(C42-D42)*$E$3/Formeln!$L$20,C42*$E$3/Formeln!$L$20)))</f>
        <v>xxx</v>
      </c>
      <c r="F42" s="139">
        <f>IF(Eingabe!$C$7="K",C42-D42+E42,SUM(C42:E42))</f>
        <v>0</v>
      </c>
    </row>
    <row r="43" spans="2:6" x14ac:dyDescent="0.25">
      <c r="B43" s="138" t="str">
        <f>IF(AND(Formeln!$I$11=2,B42&lt;$E$4/Formeln!$M$20),B42+1,IF(AND(Formeln!$I$11=1,B42&lt;$E$4*Formeln!$M$20),B42+1,"xxx"))</f>
        <v>xxx</v>
      </c>
      <c r="C43" s="139" t="str">
        <f t="shared" si="0"/>
        <v>xxx</v>
      </c>
      <c r="D43" s="139" t="str">
        <f t="shared" si="1"/>
        <v>xxx</v>
      </c>
      <c r="E43" s="139" t="str">
        <f>IF(D43="xxx","xxx",IF(AND($E$8=1,Eingabe!$C$7="S"),(C43+D43)*$E$3/Formeln!$L$20,IF(AND($E$8=1,Eingabe!$C$7="K"),(C43-D43)*$E$3/Formeln!$L$20,C43*$E$3/Formeln!$L$20)))</f>
        <v>xxx</v>
      </c>
      <c r="F43" s="139">
        <f>IF(Eingabe!$C$7="K",C43-D43+E43,SUM(C43:E43))</f>
        <v>0</v>
      </c>
    </row>
    <row r="44" spans="2:6" x14ac:dyDescent="0.25">
      <c r="B44" s="138" t="str">
        <f>IF(AND(Formeln!$I$11=2,B43&lt;$E$4/Formeln!$M$20),B43+1,IF(AND(Formeln!$I$11=1,B43&lt;$E$4*Formeln!$M$20),B43+1,"xxx"))</f>
        <v>xxx</v>
      </c>
      <c r="C44" s="139" t="str">
        <f t="shared" si="0"/>
        <v>xxx</v>
      </c>
      <c r="D44" s="139" t="str">
        <f t="shared" si="1"/>
        <v>xxx</v>
      </c>
      <c r="E44" s="139" t="str">
        <f>IF(D44="xxx","xxx",IF(AND($E$8=1,Eingabe!$C$7="S"),(C44+D44)*$E$3/Formeln!$L$20,IF(AND($E$8=1,Eingabe!$C$7="K"),(C44-D44)*$E$3/Formeln!$L$20,C44*$E$3/Formeln!$L$20)))</f>
        <v>xxx</v>
      </c>
      <c r="F44" s="139">
        <f>IF(Eingabe!$C$7="K",C44-D44+E44,SUM(C44:E44))</f>
        <v>0</v>
      </c>
    </row>
    <row r="45" spans="2:6" x14ac:dyDescent="0.25">
      <c r="B45" s="138" t="str">
        <f>IF(AND(Formeln!$I$11=2,B44&lt;$E$4/Formeln!$M$20),B44+1,IF(AND(Formeln!$I$11=1,B44&lt;$E$4*Formeln!$M$20),B44+1,"xxx"))</f>
        <v>xxx</v>
      </c>
      <c r="C45" s="139" t="str">
        <f t="shared" si="0"/>
        <v>xxx</v>
      </c>
      <c r="D45" s="139" t="str">
        <f t="shared" si="1"/>
        <v>xxx</v>
      </c>
      <c r="E45" s="139" t="str">
        <f>IF(D45="xxx","xxx",IF(AND($E$8=1,Eingabe!$C$7="S"),(C45+D45)*$E$3/Formeln!$L$20,IF(AND($E$8=1,Eingabe!$C$7="K"),(C45-D45)*$E$3/Formeln!$L$20,C45*$E$3/Formeln!$L$20)))</f>
        <v>xxx</v>
      </c>
      <c r="F45" s="139">
        <f>IF(Eingabe!$C$7="K",C45-D45+E45,SUM(C45:E45))</f>
        <v>0</v>
      </c>
    </row>
    <row r="46" spans="2:6" x14ac:dyDescent="0.25">
      <c r="B46" s="138" t="str">
        <f>IF(AND(Formeln!$I$11=2,B45&lt;$E$4/Formeln!$M$20),B45+1,IF(AND(Formeln!$I$11=1,B45&lt;$E$4*Formeln!$M$20),B45+1,"xxx"))</f>
        <v>xxx</v>
      </c>
      <c r="C46" s="139" t="str">
        <f t="shared" si="0"/>
        <v>xxx</v>
      </c>
      <c r="D46" s="139" t="str">
        <f t="shared" si="1"/>
        <v>xxx</v>
      </c>
      <c r="E46" s="139" t="str">
        <f>IF(D46="xxx","xxx",IF(AND($E$8=1,Eingabe!$C$7="S"),(C46+D46)*$E$3/Formeln!$L$20,IF(AND($E$8=1,Eingabe!$C$7="K"),(C46-D46)*$E$3/Formeln!$L$20,C46*$E$3/Formeln!$L$20)))</f>
        <v>xxx</v>
      </c>
      <c r="F46" s="139">
        <f>IF(Eingabe!$C$7="K",C46-D46+E46,SUM(C46:E46))</f>
        <v>0</v>
      </c>
    </row>
    <row r="47" spans="2:6" x14ac:dyDescent="0.25">
      <c r="B47" s="138" t="str">
        <f>IF(AND(Formeln!$I$11=2,B46&lt;$E$4/Formeln!$M$20),B46+1,IF(AND(Formeln!$I$11=1,B46&lt;$E$4*Formeln!$M$20),B46+1,"xxx"))</f>
        <v>xxx</v>
      </c>
      <c r="C47" s="139" t="str">
        <f t="shared" si="0"/>
        <v>xxx</v>
      </c>
      <c r="D47" s="139" t="str">
        <f t="shared" si="1"/>
        <v>xxx</v>
      </c>
      <c r="E47" s="139" t="str">
        <f>IF(D47="xxx","xxx",IF(AND($E$8=1,Eingabe!$C$7="S"),(C47+D47)*$E$3/Formeln!$L$20,IF(AND($E$8=1,Eingabe!$C$7="K"),(C47-D47)*$E$3/Formeln!$L$20,C47*$E$3/Formeln!$L$20)))</f>
        <v>xxx</v>
      </c>
      <c r="F47" s="139">
        <f>IF(Eingabe!$C$7="K",C47-D47+E47,SUM(C47:E47))</f>
        <v>0</v>
      </c>
    </row>
    <row r="48" spans="2:6" x14ac:dyDescent="0.25">
      <c r="B48" s="138" t="str">
        <f>IF(AND(Formeln!$I$11=2,B47&lt;$E$4/Formeln!$M$20),B47+1,IF(AND(Formeln!$I$11=1,B47&lt;$E$4*Formeln!$M$20),B47+1,"xxx"))</f>
        <v>xxx</v>
      </c>
      <c r="C48" s="139" t="str">
        <f t="shared" si="0"/>
        <v>xxx</v>
      </c>
      <c r="D48" s="139" t="str">
        <f t="shared" si="1"/>
        <v>xxx</v>
      </c>
      <c r="E48" s="139" t="str">
        <f>IF(D48="xxx","xxx",IF(AND($E$8=1,Eingabe!$C$7="S"),(C48+D48)*$E$3/Formeln!$L$20,IF(AND($E$8=1,Eingabe!$C$7="K"),(C48-D48)*$E$3/Formeln!$L$20,C48*$E$3/Formeln!$L$20)))</f>
        <v>xxx</v>
      </c>
      <c r="F48" s="139">
        <f>IF(Eingabe!$C$7="K",C48-D48+E48,SUM(C48:E48))</f>
        <v>0</v>
      </c>
    </row>
    <row r="49" spans="2:6" x14ac:dyDescent="0.25">
      <c r="B49" s="138" t="str">
        <f>IF(AND(Formeln!$I$11=2,B48&lt;$E$4/Formeln!$M$20),B48+1,IF(AND(Formeln!$I$11=1,B48&lt;$E$4*Formeln!$M$20),B48+1,"xxx"))</f>
        <v>xxx</v>
      </c>
      <c r="C49" s="139" t="str">
        <f t="shared" si="0"/>
        <v>xxx</v>
      </c>
      <c r="D49" s="139" t="str">
        <f t="shared" si="1"/>
        <v>xxx</v>
      </c>
      <c r="E49" s="139" t="str">
        <f>IF(D49="xxx","xxx",IF(AND($E$8=1,Eingabe!$C$7="S"),(C49+D49)*$E$3/Formeln!$L$20,IF(AND($E$8=1,Eingabe!$C$7="K"),(C49-D49)*$E$3/Formeln!$L$20,C49*$E$3/Formeln!$L$20)))</f>
        <v>xxx</v>
      </c>
      <c r="F49" s="139">
        <f>IF(Eingabe!$C$7="K",C49-D49+E49,SUM(C49:E49))</f>
        <v>0</v>
      </c>
    </row>
    <row r="50" spans="2:6" x14ac:dyDescent="0.25">
      <c r="B50" s="138" t="str">
        <f>IF(AND(Formeln!$I$11=2,B49&lt;$E$4/Formeln!$M$20),B49+1,IF(AND(Formeln!$I$11=1,B49&lt;$E$4*Formeln!$M$20),B49+1,"xxx"))</f>
        <v>xxx</v>
      </c>
      <c r="C50" s="139" t="str">
        <f t="shared" si="0"/>
        <v>xxx</v>
      </c>
      <c r="D50" s="139" t="str">
        <f t="shared" si="1"/>
        <v>xxx</v>
      </c>
      <c r="E50" s="139" t="str">
        <f>IF(D50="xxx","xxx",IF(AND($E$8=1,Eingabe!$C$7="S"),(C50+D50)*$E$3/Formeln!$L$20,IF(AND($E$8=1,Eingabe!$C$7="K"),(C50-D50)*$E$3/Formeln!$L$20,C50*$E$3/Formeln!$L$20)))</f>
        <v>xxx</v>
      </c>
      <c r="F50" s="139">
        <f>IF(Eingabe!$C$7="K",C50-D50+E50,SUM(C50:E50))</f>
        <v>0</v>
      </c>
    </row>
    <row r="51" spans="2:6" x14ac:dyDescent="0.25">
      <c r="B51" s="138" t="str">
        <f>IF(AND(Formeln!$I$11=2,B50&lt;$E$4/Formeln!$M$20),B50+1,IF(AND(Formeln!$I$11=1,B50&lt;$E$4*Formeln!$M$20),B50+1,"xxx"))</f>
        <v>xxx</v>
      </c>
      <c r="C51" s="139" t="str">
        <f t="shared" si="0"/>
        <v>xxx</v>
      </c>
      <c r="D51" s="139" t="str">
        <f t="shared" si="1"/>
        <v>xxx</v>
      </c>
      <c r="E51" s="139" t="str">
        <f>IF(D51="xxx","xxx",IF(AND($E$8=1,Eingabe!$C$7="S"),(C51+D51)*$E$3/Formeln!$L$20,IF(AND($E$8=1,Eingabe!$C$7="K"),(C51-D51)*$E$3/Formeln!$L$20,C51*$E$3/Formeln!$L$20)))</f>
        <v>xxx</v>
      </c>
      <c r="F51" s="139">
        <f>IF(Eingabe!$C$7="K",C51-D51+E51,SUM(C51:E51))</f>
        <v>0</v>
      </c>
    </row>
    <row r="52" spans="2:6" x14ac:dyDescent="0.25">
      <c r="B52" s="138" t="str">
        <f>IF(AND(Formeln!$I$11=2,B51&lt;$E$4/Formeln!$M$20),B51+1,IF(AND(Formeln!$I$11=1,B51&lt;$E$4*Formeln!$M$20),B51+1,"xxx"))</f>
        <v>xxx</v>
      </c>
      <c r="C52" s="139" t="str">
        <f t="shared" si="0"/>
        <v>xxx</v>
      </c>
      <c r="D52" s="139" t="str">
        <f t="shared" si="1"/>
        <v>xxx</v>
      </c>
      <c r="E52" s="139" t="str">
        <f>IF(D52="xxx","xxx",IF(AND($E$8=1,Eingabe!$C$7="S"),(C52+D52)*$E$3/Formeln!$L$20,IF(AND($E$8=1,Eingabe!$C$7="K"),(C52-D52)*$E$3/Formeln!$L$20,C52*$E$3/Formeln!$L$20)))</f>
        <v>xxx</v>
      </c>
      <c r="F52" s="139">
        <f>IF(Eingabe!$C$7="K",C52-D52+E52,SUM(C52:E52))</f>
        <v>0</v>
      </c>
    </row>
    <row r="53" spans="2:6" x14ac:dyDescent="0.25">
      <c r="B53" s="138" t="str">
        <f>IF(AND(Formeln!$I$11=2,B52&lt;$E$4/Formeln!$M$20),B52+1,IF(AND(Formeln!$I$11=1,B52&lt;$E$4*Formeln!$M$20),B52+1,"xxx"))</f>
        <v>xxx</v>
      </c>
      <c r="C53" s="139" t="str">
        <f t="shared" si="0"/>
        <v>xxx</v>
      </c>
      <c r="D53" s="139" t="str">
        <f t="shared" si="1"/>
        <v>xxx</v>
      </c>
      <c r="E53" s="139" t="str">
        <f>IF(D53="xxx","xxx",IF(AND($E$8=1,Eingabe!$C$7="S"),(C53+D53)*$E$3/Formeln!$L$20,IF(AND($E$8=1,Eingabe!$C$7="K"),(C53-D53)*$E$3/Formeln!$L$20,C53*$E$3/Formeln!$L$20)))</f>
        <v>xxx</v>
      </c>
      <c r="F53" s="139">
        <f>IF(Eingabe!$C$7="K",C53-D53+E53,SUM(C53:E53))</f>
        <v>0</v>
      </c>
    </row>
    <row r="54" spans="2:6" x14ac:dyDescent="0.25">
      <c r="B54" s="138" t="str">
        <f>IF(AND(Formeln!$I$11=2,B53&lt;$E$4/Formeln!$M$20),B53+1,IF(AND(Formeln!$I$11=1,B53&lt;$E$4*Formeln!$M$20),B53+1,"xxx"))</f>
        <v>xxx</v>
      </c>
      <c r="C54" s="139" t="str">
        <f t="shared" si="0"/>
        <v>xxx</v>
      </c>
      <c r="D54" s="139" t="str">
        <f t="shared" si="1"/>
        <v>xxx</v>
      </c>
      <c r="E54" s="139" t="str">
        <f>IF(D54="xxx","xxx",IF(AND($E$8=1,Eingabe!$C$7="S"),(C54+D54)*$E$3/Formeln!$L$20,IF(AND($E$8=1,Eingabe!$C$7="K"),(C54-D54)*$E$3/Formeln!$L$20,C54*$E$3/Formeln!$L$20)))</f>
        <v>xxx</v>
      </c>
      <c r="F54" s="139">
        <f>IF(Eingabe!$C$7="K",C54-D54+E54,SUM(C54:E54))</f>
        <v>0</v>
      </c>
    </row>
    <row r="55" spans="2:6" x14ac:dyDescent="0.25">
      <c r="B55" s="138" t="str">
        <f>IF(AND(Formeln!$I$11=2,B54&lt;$E$4/Formeln!$M$20),B54+1,IF(AND(Formeln!$I$11=1,B54&lt;$E$4*Formeln!$M$20),B54+1,"xxx"))</f>
        <v>xxx</v>
      </c>
      <c r="C55" s="139" t="str">
        <f t="shared" si="0"/>
        <v>xxx</v>
      </c>
      <c r="D55" s="139" t="str">
        <f t="shared" si="1"/>
        <v>xxx</v>
      </c>
      <c r="E55" s="139" t="str">
        <f>IF(D55="xxx","xxx",IF(AND($E$8=1,Eingabe!$C$7="S"),(C55+D55)*$E$3/Formeln!$L$20,IF(AND($E$8=1,Eingabe!$C$7="K"),(C55-D55)*$E$3/Formeln!$L$20,C55*$E$3/Formeln!$L$20)))</f>
        <v>xxx</v>
      </c>
      <c r="F55" s="139">
        <f>IF(Eingabe!$C$7="K",C55-D55+E55,SUM(C55:E55))</f>
        <v>0</v>
      </c>
    </row>
    <row r="56" spans="2:6" x14ac:dyDescent="0.25">
      <c r="B56" s="138" t="str">
        <f>IF(AND(Formeln!$I$11=2,B55&lt;$E$4/Formeln!$M$20),B55+1,IF(AND(Formeln!$I$11=1,B55&lt;$E$4*Formeln!$M$20),B55+1,"xxx"))</f>
        <v>xxx</v>
      </c>
      <c r="C56" s="139" t="str">
        <f t="shared" si="0"/>
        <v>xxx</v>
      </c>
      <c r="D56" s="139" t="str">
        <f t="shared" si="1"/>
        <v>xxx</v>
      </c>
      <c r="E56" s="139" t="str">
        <f>IF(D56="xxx","xxx",IF(AND($E$8=1,Eingabe!$C$7="S"),(C56+D56)*$E$3/Formeln!$L$20,IF(AND($E$8=1,Eingabe!$C$7="K"),(C56-D56)*$E$3/Formeln!$L$20,C56*$E$3/Formeln!$L$20)))</f>
        <v>xxx</v>
      </c>
      <c r="F56" s="139">
        <f>IF(Eingabe!$C$7="K",C56-D56+E56,SUM(C56:E56))</f>
        <v>0</v>
      </c>
    </row>
    <row r="57" spans="2:6" x14ac:dyDescent="0.25">
      <c r="B57" s="138" t="str">
        <f>IF(AND(Formeln!$I$11=2,B56&lt;$E$4/Formeln!$M$20),B56+1,IF(AND(Formeln!$I$11=1,B56&lt;$E$4*Formeln!$M$20),B56+1,"xxx"))</f>
        <v>xxx</v>
      </c>
      <c r="C57" s="139" t="str">
        <f t="shared" si="0"/>
        <v>xxx</v>
      </c>
      <c r="D57" s="139" t="str">
        <f t="shared" si="1"/>
        <v>xxx</v>
      </c>
      <c r="E57" s="139" t="str">
        <f>IF(D57="xxx","xxx",IF(AND($E$8=1,Eingabe!$C$7="S"),(C57+D57)*$E$3/Formeln!$L$20,IF(AND($E$8=1,Eingabe!$C$7="K"),(C57-D57)*$E$3/Formeln!$L$20,C57*$E$3/Formeln!$L$20)))</f>
        <v>xxx</v>
      </c>
      <c r="F57" s="139">
        <f>IF(Eingabe!$C$7="K",C57-D57+E57,SUM(C57:E57))</f>
        <v>0</v>
      </c>
    </row>
    <row r="58" spans="2:6" x14ac:dyDescent="0.25">
      <c r="B58" s="138" t="str">
        <f>IF(AND(Formeln!$I$11=2,B57&lt;$E$4/Formeln!$M$20),B57+1,IF(AND(Formeln!$I$11=1,B57&lt;$E$4*Formeln!$M$20),B57+1,"xxx"))</f>
        <v>xxx</v>
      </c>
      <c r="C58" s="139" t="str">
        <f t="shared" si="0"/>
        <v>xxx</v>
      </c>
      <c r="D58" s="139" t="str">
        <f t="shared" si="1"/>
        <v>xxx</v>
      </c>
      <c r="E58" s="139" t="str">
        <f>IF(D58="xxx","xxx",IF(AND($E$8=1,Eingabe!$C$7="S"),(C58+D58)*$E$3/Formeln!$L$20,IF(AND($E$8=1,Eingabe!$C$7="K"),(C58-D58)*$E$3/Formeln!$L$20,C58*$E$3/Formeln!$L$20)))</f>
        <v>xxx</v>
      </c>
      <c r="F58" s="139">
        <f>IF(Eingabe!$C$7="K",C58-D58+E58,SUM(C58:E58))</f>
        <v>0</v>
      </c>
    </row>
    <row r="59" spans="2:6" x14ac:dyDescent="0.25">
      <c r="B59" s="138" t="str">
        <f>IF(AND(Formeln!$I$11=2,B58&lt;$E$4/Formeln!$M$20),B58+1,IF(AND(Formeln!$I$11=1,B58&lt;$E$4*Formeln!$M$20),B58+1,"xxx"))</f>
        <v>xxx</v>
      </c>
      <c r="C59" s="139" t="str">
        <f t="shared" si="0"/>
        <v>xxx</v>
      </c>
      <c r="D59" s="139" t="str">
        <f t="shared" si="1"/>
        <v>xxx</v>
      </c>
      <c r="E59" s="139" t="str">
        <f>IF(D59="xxx","xxx",IF(AND($E$8=1,Eingabe!$C$7="S"),(C59+D59)*$E$3/Formeln!$L$20,IF(AND($E$8=1,Eingabe!$C$7="K"),(C59-D59)*$E$3/Formeln!$L$20,C59*$E$3/Formeln!$L$20)))</f>
        <v>xxx</v>
      </c>
      <c r="F59" s="139">
        <f>IF(Eingabe!$C$7="K",C59-D59+E59,SUM(C59:E59))</f>
        <v>0</v>
      </c>
    </row>
    <row r="60" spans="2:6" x14ac:dyDescent="0.25">
      <c r="B60" s="138" t="str">
        <f>IF(AND(Formeln!$I$11=2,B59&lt;$E$4/Formeln!$M$20),B59+1,IF(AND(Formeln!$I$11=1,B59&lt;$E$4*Formeln!$M$20),B59+1,"xxx"))</f>
        <v>xxx</v>
      </c>
      <c r="C60" s="139" t="str">
        <f t="shared" si="0"/>
        <v>xxx</v>
      </c>
      <c r="D60" s="139" t="str">
        <f t="shared" si="1"/>
        <v>xxx</v>
      </c>
      <c r="E60" s="139" t="str">
        <f>IF(D60="xxx","xxx",IF(AND($E$8=1,Eingabe!$C$7="S"),(C60+D60)*$E$3/Formeln!$L$20,IF(AND($E$8=1,Eingabe!$C$7="K"),(C60-D60)*$E$3/Formeln!$L$20,C60*$E$3/Formeln!$L$20)))</f>
        <v>xxx</v>
      </c>
      <c r="F60" s="139">
        <f>IF(Eingabe!$C$7="K",C60-D60+E60,SUM(C60:E60))</f>
        <v>0</v>
      </c>
    </row>
    <row r="61" spans="2:6" x14ac:dyDescent="0.25">
      <c r="B61" s="138" t="str">
        <f>IF(AND(Formeln!$I$11=2,B60&lt;$E$4/Formeln!$M$20),B60+1,IF(AND(Formeln!$I$11=1,B60&lt;$E$4*Formeln!$M$20),B60+1,"xxx"))</f>
        <v>xxx</v>
      </c>
      <c r="C61" s="139" t="str">
        <f t="shared" si="0"/>
        <v>xxx</v>
      </c>
      <c r="D61" s="139" t="str">
        <f t="shared" si="1"/>
        <v>xxx</v>
      </c>
      <c r="E61" s="139" t="str">
        <f>IF(D61="xxx","xxx",IF(AND($E$8=1,Eingabe!$C$7="S"),(C61+D61)*$E$3/Formeln!$L$20,IF(AND($E$8=1,Eingabe!$C$7="K"),(C61-D61)*$E$3/Formeln!$L$20,C61*$E$3/Formeln!$L$20)))</f>
        <v>xxx</v>
      </c>
      <c r="F61" s="139">
        <f>IF(Eingabe!$C$7="K",C61-D61+E61,SUM(C61:E61))</f>
        <v>0</v>
      </c>
    </row>
    <row r="62" spans="2:6" x14ac:dyDescent="0.25">
      <c r="B62" s="138" t="str">
        <f>IF(AND(Formeln!$I$11=2,B61&lt;$E$4/Formeln!$M$20),B61+1,IF(AND(Formeln!$I$11=1,B61&lt;$E$4*Formeln!$M$20),B61+1,"xxx"))</f>
        <v>xxx</v>
      </c>
      <c r="C62" s="139" t="str">
        <f t="shared" si="0"/>
        <v>xxx</v>
      </c>
      <c r="D62" s="139" t="str">
        <f t="shared" si="1"/>
        <v>xxx</v>
      </c>
      <c r="E62" s="139" t="str">
        <f>IF(D62="xxx","xxx",IF(AND($E$8=1,Eingabe!$C$7="S"),(C62+D62)*$E$3/Formeln!$L$20,IF(AND($E$8=1,Eingabe!$C$7="K"),(C62-D62)*$E$3/Formeln!$L$20,C62*$E$3/Formeln!$L$20)))</f>
        <v>xxx</v>
      </c>
      <c r="F62" s="139">
        <f>IF(Eingabe!$C$7="K",C62-D62+E62,SUM(C62:E62))</f>
        <v>0</v>
      </c>
    </row>
    <row r="63" spans="2:6" x14ac:dyDescent="0.25">
      <c r="B63" s="138" t="str">
        <f>IF(AND(Formeln!$I$11=2,B62&lt;$E$4/Formeln!$M$20),B62+1,IF(AND(Formeln!$I$11=1,B62&lt;$E$4*Formeln!$M$20),B62+1,"xxx"))</f>
        <v>xxx</v>
      </c>
      <c r="C63" s="139" t="str">
        <f t="shared" si="0"/>
        <v>xxx</v>
      </c>
      <c r="D63" s="139" t="str">
        <f t="shared" si="1"/>
        <v>xxx</v>
      </c>
      <c r="E63" s="139" t="str">
        <f>IF(D63="xxx","xxx",IF(AND($E$8=1,Eingabe!$C$7="S"),(C63+D63)*$E$3/Formeln!$L$20,IF(AND($E$8=1,Eingabe!$C$7="K"),(C63-D63)*$E$3/Formeln!$L$20,C63*$E$3/Formeln!$L$20)))</f>
        <v>xxx</v>
      </c>
      <c r="F63" s="139">
        <f>IF(Eingabe!$C$7="K",C63-D63+E63,SUM(C63:E63))</f>
        <v>0</v>
      </c>
    </row>
    <row r="64" spans="2:6" x14ac:dyDescent="0.25">
      <c r="B64" s="138" t="str">
        <f>IF(AND(Formeln!$I$11=2,B63&lt;$E$4/Formeln!$M$20),B63+1,IF(AND(Formeln!$I$11=1,B63&lt;$E$4*Formeln!$M$20),B63+1,"xxx"))</f>
        <v>xxx</v>
      </c>
      <c r="C64" s="139" t="str">
        <f t="shared" si="0"/>
        <v>xxx</v>
      </c>
      <c r="D64" s="139" t="str">
        <f t="shared" si="1"/>
        <v>xxx</v>
      </c>
      <c r="E64" s="139" t="str">
        <f>IF(D64="xxx","xxx",IF(AND($E$8=1,Eingabe!$C$7="S"),(C64+D64)*$E$3/Formeln!$L$20,IF(AND($E$8=1,Eingabe!$C$7="K"),(C64-D64)*$E$3/Formeln!$L$20,C64*$E$3/Formeln!$L$20)))</f>
        <v>xxx</v>
      </c>
      <c r="F64" s="139">
        <f>IF(Eingabe!$C$7="K",C64-D64+E64,SUM(C64:E64))</f>
        <v>0</v>
      </c>
    </row>
    <row r="65" spans="2:6" x14ac:dyDescent="0.25">
      <c r="B65" s="138" t="str">
        <f>IF(AND(Formeln!$I$11=2,B64&lt;$E$4/Formeln!$M$20),B64+1,IF(AND(Formeln!$I$11=1,B64&lt;$E$4*Formeln!$M$20),B64+1,"xxx"))</f>
        <v>xxx</v>
      </c>
      <c r="C65" s="139" t="str">
        <f t="shared" si="0"/>
        <v>xxx</v>
      </c>
      <c r="D65" s="139" t="str">
        <f t="shared" si="1"/>
        <v>xxx</v>
      </c>
      <c r="E65" s="139" t="str">
        <f>IF(D65="xxx","xxx",IF(AND($E$8=1,Eingabe!$C$7="S"),(C65+D65)*$E$3/Formeln!$L$20,IF(AND($E$8=1,Eingabe!$C$7="K"),(C65-D65)*$E$3/Formeln!$L$20,C65*$E$3/Formeln!$L$20)))</f>
        <v>xxx</v>
      </c>
      <c r="F65" s="139">
        <f>IF(Eingabe!$C$7="K",C65-D65+E65,SUM(C65:E65))</f>
        <v>0</v>
      </c>
    </row>
    <row r="66" spans="2:6" x14ac:dyDescent="0.25">
      <c r="B66" s="138" t="str">
        <f>IF(AND(Formeln!$I$11=2,B65&lt;$E$4/Formeln!$M$20),B65+1,IF(AND(Formeln!$I$11=1,B65&lt;$E$4*Formeln!$M$20),B65+1,"xxx"))</f>
        <v>xxx</v>
      </c>
      <c r="C66" s="139" t="str">
        <f t="shared" si="0"/>
        <v>xxx</v>
      </c>
      <c r="D66" s="139" t="str">
        <f t="shared" si="1"/>
        <v>xxx</v>
      </c>
      <c r="E66" s="139" t="str">
        <f>IF(D66="xxx","xxx",IF(AND($E$8=1,Eingabe!$C$7="S"),(C66+D66)*$E$3/Formeln!$L$20,IF(AND($E$8=1,Eingabe!$C$7="K"),(C66-D66)*$E$3/Formeln!$L$20,C66*$E$3/Formeln!$L$20)))</f>
        <v>xxx</v>
      </c>
      <c r="F66" s="139">
        <f>IF(Eingabe!$C$7="K",C66-D66+E66,SUM(C66:E66))</f>
        <v>0</v>
      </c>
    </row>
    <row r="67" spans="2:6" x14ac:dyDescent="0.25">
      <c r="B67" s="138" t="str">
        <f>IF(AND(Formeln!$I$11=2,B66&lt;$E$4/Formeln!$M$20),B66+1,IF(AND(Formeln!$I$11=1,B66&lt;$E$4*Formeln!$M$20),B66+1,"xxx"))</f>
        <v>xxx</v>
      </c>
      <c r="C67" s="139" t="str">
        <f t="shared" si="0"/>
        <v>xxx</v>
      </c>
      <c r="D67" s="139" t="str">
        <f t="shared" si="1"/>
        <v>xxx</v>
      </c>
      <c r="E67" s="139" t="str">
        <f>IF(D67="xxx","xxx",IF(AND($E$8=1,Eingabe!$C$7="S"),(C67+D67)*$E$3/Formeln!$L$20,IF(AND($E$8=1,Eingabe!$C$7="K"),(C67-D67)*$E$3/Formeln!$L$20,C67*$E$3/Formeln!$L$20)))</f>
        <v>xxx</v>
      </c>
      <c r="F67" s="139">
        <f>IF(Eingabe!$C$7="K",C67-D67+E67,SUM(C67:E67))</f>
        <v>0</v>
      </c>
    </row>
    <row r="68" spans="2:6" x14ac:dyDescent="0.25">
      <c r="B68" s="138" t="str">
        <f>IF(AND(Formeln!$I$11=2,B67&lt;$E$4/Formeln!$M$20),B67+1,IF(AND(Formeln!$I$11=1,B67&lt;$E$4*Formeln!$M$20),B67+1,"xxx"))</f>
        <v>xxx</v>
      </c>
      <c r="C68" s="139" t="str">
        <f t="shared" si="0"/>
        <v>xxx</v>
      </c>
      <c r="D68" s="139" t="str">
        <f t="shared" si="1"/>
        <v>xxx</v>
      </c>
      <c r="E68" s="139" t="str">
        <f>IF(D68="xxx","xxx",IF(AND($E$8=1,Eingabe!$C$7="S"),(C68+D68)*$E$3/Formeln!$L$20,IF(AND($E$8=1,Eingabe!$C$7="K"),(C68-D68)*$E$3/Formeln!$L$20,C68*$E$3/Formeln!$L$20)))</f>
        <v>xxx</v>
      </c>
      <c r="F68" s="139">
        <f>IF(Eingabe!$C$7="K",C68-D68+E68,SUM(C68:E68))</f>
        <v>0</v>
      </c>
    </row>
    <row r="69" spans="2:6" x14ac:dyDescent="0.25">
      <c r="B69" s="138" t="str">
        <f>IF(AND(Formeln!$I$11=2,B68&lt;$E$4/Formeln!$M$20),B68+1,IF(AND(Formeln!$I$11=1,B68&lt;$E$4*Formeln!$M$20),B68+1,"xxx"))</f>
        <v>xxx</v>
      </c>
      <c r="C69" s="139" t="str">
        <f t="shared" si="0"/>
        <v>xxx</v>
      </c>
      <c r="D69" s="139" t="str">
        <f t="shared" si="1"/>
        <v>xxx</v>
      </c>
      <c r="E69" s="139" t="str">
        <f>IF(D69="xxx","xxx",IF(AND($E$8=1,Eingabe!$C$7="S"),(C69+D69)*$E$3/Formeln!$L$20,IF(AND($E$8=1,Eingabe!$C$7="K"),(C69-D69)*$E$3/Formeln!$L$20,C69*$E$3/Formeln!$L$20)))</f>
        <v>xxx</v>
      </c>
      <c r="F69" s="139">
        <f>IF(Eingabe!$C$7="K",C69-D69+E69,SUM(C69:E69))</f>
        <v>0</v>
      </c>
    </row>
    <row r="70" spans="2:6" x14ac:dyDescent="0.25">
      <c r="B70" s="138" t="str">
        <f>IF(AND(Formeln!$I$11=2,B69&lt;$E$4/Formeln!$M$20),B69+1,IF(AND(Formeln!$I$11=1,B69&lt;$E$4*Formeln!$M$20),B69+1,"xxx"))</f>
        <v>xxx</v>
      </c>
      <c r="C70" s="139" t="str">
        <f t="shared" si="0"/>
        <v>xxx</v>
      </c>
      <c r="D70" s="139" t="str">
        <f t="shared" si="1"/>
        <v>xxx</v>
      </c>
      <c r="E70" s="139" t="str">
        <f>IF(D70="xxx","xxx",IF(AND($E$8=1,Eingabe!$C$7="S"),(C70+D70)*$E$3/Formeln!$L$20,IF(AND($E$8=1,Eingabe!$C$7="K"),(C70-D70)*$E$3/Formeln!$L$20,C70*$E$3/Formeln!$L$20)))</f>
        <v>xxx</v>
      </c>
      <c r="F70" s="139">
        <f>IF(Eingabe!$C$7="K",C70-D70+E70,SUM(C70:E70))</f>
        <v>0</v>
      </c>
    </row>
    <row r="71" spans="2:6" x14ac:dyDescent="0.25">
      <c r="B71" s="138" t="str">
        <f>IF(AND(Formeln!$I$11=2,B70&lt;$E$4/Formeln!$M$20),B70+1,IF(AND(Formeln!$I$11=1,B70&lt;$E$4*Formeln!$M$20),B70+1,"xxx"))</f>
        <v>xxx</v>
      </c>
      <c r="C71" s="139" t="str">
        <f t="shared" si="0"/>
        <v>xxx</v>
      </c>
      <c r="D71" s="139" t="str">
        <f t="shared" si="1"/>
        <v>xxx</v>
      </c>
      <c r="E71" s="139" t="str">
        <f>IF(D71="xxx","xxx",IF(AND($E$8=1,Eingabe!$C$7="S"),(C71+D71)*$E$3/Formeln!$L$20,IF(AND($E$8=1,Eingabe!$C$7="K"),(C71-D71)*$E$3/Formeln!$L$20,C71*$E$3/Formeln!$L$20)))</f>
        <v>xxx</v>
      </c>
      <c r="F71" s="139">
        <f>IF(Eingabe!$C$7="K",C71-D71+E71,SUM(C71:E71))</f>
        <v>0</v>
      </c>
    </row>
    <row r="72" spans="2:6" x14ac:dyDescent="0.25">
      <c r="B72" s="138" t="str">
        <f>IF(AND(Formeln!$I$11=2,B71&lt;$E$4/Formeln!$M$20),B71+1,IF(AND(Formeln!$I$11=1,B71&lt;$E$4*Formeln!$M$20),B71+1,"xxx"))</f>
        <v>xxx</v>
      </c>
      <c r="C72" s="139" t="str">
        <f t="shared" si="0"/>
        <v>xxx</v>
      </c>
      <c r="D72" s="139" t="str">
        <f t="shared" si="1"/>
        <v>xxx</v>
      </c>
      <c r="E72" s="139" t="str">
        <f>IF(D72="xxx","xxx",IF(AND($E$8=1,Eingabe!$C$7="S"),(C72+D72)*$E$3/Formeln!$L$20,IF(AND($E$8=1,Eingabe!$C$7="K"),(C72-D72)*$E$3/Formeln!$L$20,C72*$E$3/Formeln!$L$20)))</f>
        <v>xxx</v>
      </c>
      <c r="F72" s="139">
        <f>IF(Eingabe!$C$7="K",C72-D72+E72,SUM(C72:E72))</f>
        <v>0</v>
      </c>
    </row>
    <row r="73" spans="2:6" x14ac:dyDescent="0.25">
      <c r="B73" s="138" t="str">
        <f>IF(AND(Formeln!$I$11=2,B72&lt;$E$4/Formeln!$M$20),B72+1,IF(AND(Formeln!$I$11=1,B72&lt;$E$4*Formeln!$M$20),B72+1,"xxx"))</f>
        <v>xxx</v>
      </c>
      <c r="C73" s="139" t="str">
        <f t="shared" si="0"/>
        <v>xxx</v>
      </c>
      <c r="D73" s="139" t="str">
        <f t="shared" si="1"/>
        <v>xxx</v>
      </c>
      <c r="E73" s="139" t="str">
        <f>IF(D73="xxx","xxx",IF(AND($E$8=1,Eingabe!$C$7="S"),(C73+D73)*$E$3/Formeln!$L$20,IF(AND($E$8=1,Eingabe!$C$7="K"),(C73-D73)*$E$3/Formeln!$L$20,C73*$E$3/Formeln!$L$20)))</f>
        <v>xxx</v>
      </c>
      <c r="F73" s="139">
        <f>IF(Eingabe!$C$7="K",C73-D73+E73,SUM(C73:E73))</f>
        <v>0</v>
      </c>
    </row>
    <row r="74" spans="2:6" x14ac:dyDescent="0.25">
      <c r="B74" s="138" t="str">
        <f>IF(AND(Formeln!$I$11=2,B73&lt;$E$4/Formeln!$M$20),B73+1,IF(AND(Formeln!$I$11=1,B73&lt;$E$4*Formeln!$M$20),B73+1,"xxx"))</f>
        <v>xxx</v>
      </c>
      <c r="C74" s="139" t="str">
        <f t="shared" si="0"/>
        <v>xxx</v>
      </c>
      <c r="D74" s="139" t="str">
        <f t="shared" si="1"/>
        <v>xxx</v>
      </c>
      <c r="E74" s="139" t="str">
        <f>IF(D74="xxx","xxx",IF(AND($E$8=1,Eingabe!$C$7="S"),(C74+D74)*$E$3/Formeln!$L$20,IF(AND($E$8=1,Eingabe!$C$7="K"),(C74-D74)*$E$3/Formeln!$L$20,C74*$E$3/Formeln!$L$20)))</f>
        <v>xxx</v>
      </c>
      <c r="F74" s="139">
        <f>IF(Eingabe!$C$7="K",C74-D74+E74,SUM(C74:E74))</f>
        <v>0</v>
      </c>
    </row>
    <row r="75" spans="2:6" x14ac:dyDescent="0.25">
      <c r="B75" s="138" t="str">
        <f>IF(AND(Formeln!$I$11=2,B74&lt;$E$4/Formeln!$M$20),B74+1,IF(AND(Formeln!$I$11=1,B74&lt;$E$4*Formeln!$M$20),B74+1,"xxx"))</f>
        <v>xxx</v>
      </c>
      <c r="C75" s="139" t="str">
        <f t="shared" si="0"/>
        <v>xxx</v>
      </c>
      <c r="D75" s="139" t="str">
        <f t="shared" si="1"/>
        <v>xxx</v>
      </c>
      <c r="E75" s="139" t="str">
        <f>IF(D75="xxx","xxx",IF(AND($E$8=1,Eingabe!$C$7="S"),(C75+D75)*$E$3/Formeln!$L$20,IF(AND($E$8=1,Eingabe!$C$7="K"),(C75-D75)*$E$3/Formeln!$L$20,C75*$E$3/Formeln!$L$20)))</f>
        <v>xxx</v>
      </c>
      <c r="F75" s="139">
        <f>IF(Eingabe!$C$7="K",C75-D75+E75,SUM(C75:E75))</f>
        <v>0</v>
      </c>
    </row>
    <row r="76" spans="2:6" x14ac:dyDescent="0.25">
      <c r="B76" s="138" t="str">
        <f>IF(AND(Formeln!$I$11=2,B75&lt;$E$4/Formeln!$M$20),B75+1,IF(AND(Formeln!$I$11=1,B75&lt;$E$4*Formeln!$M$20),B75+1,"xxx"))</f>
        <v>xxx</v>
      </c>
      <c r="C76" s="139" t="str">
        <f t="shared" si="0"/>
        <v>xxx</v>
      </c>
      <c r="D76" s="139" t="str">
        <f t="shared" si="1"/>
        <v>xxx</v>
      </c>
      <c r="E76" s="139" t="str">
        <f>IF(D76="xxx","xxx",IF(AND($E$8=1,Eingabe!$C$7="S"),(C76+D76)*$E$3/Formeln!$L$20,IF(AND($E$8=1,Eingabe!$C$7="K"),(C76-D76)*$E$3/Formeln!$L$20,C76*$E$3/Formeln!$L$20)))</f>
        <v>xxx</v>
      </c>
      <c r="F76" s="139">
        <f>IF(Eingabe!$C$7="K",C76-D76+E76,SUM(C76:E76))</f>
        <v>0</v>
      </c>
    </row>
    <row r="77" spans="2:6" x14ac:dyDescent="0.25">
      <c r="B77" s="138" t="str">
        <f>IF(AND(Formeln!$I$11=2,B76&lt;$E$4/Formeln!$M$20),B76+1,IF(AND(Formeln!$I$11=1,B76&lt;$E$4*Formeln!$M$20),B76+1,"xxx"))</f>
        <v>xxx</v>
      </c>
      <c r="C77" s="139" t="str">
        <f t="shared" ref="C77:C140" si="2">IF(B77="xxx","xxx",F76)</f>
        <v>xxx</v>
      </c>
      <c r="D77" s="139" t="str">
        <f t="shared" ref="D77:D140" si="3">IF(C77="xxx","xxx",D76)</f>
        <v>xxx</v>
      </c>
      <c r="E77" s="139" t="str">
        <f>IF(D77="xxx","xxx",IF(AND($E$8=1,Eingabe!$C$7="S"),(C77+D77)*$E$3/Formeln!$L$20,IF(AND($E$8=1,Eingabe!$C$7="K"),(C77-D77)*$E$3/Formeln!$L$20,C77*$E$3/Formeln!$L$20)))</f>
        <v>xxx</v>
      </c>
      <c r="F77" s="139">
        <f>IF(Eingabe!$C$7="K",C77-D77+E77,SUM(C77:E77))</f>
        <v>0</v>
      </c>
    </row>
    <row r="78" spans="2:6" x14ac:dyDescent="0.25">
      <c r="B78" s="138" t="str">
        <f>IF(AND(Formeln!$I$11=2,B77&lt;$E$4/Formeln!$M$20),B77+1,IF(AND(Formeln!$I$11=1,B77&lt;$E$4*Formeln!$M$20),B77+1,"xxx"))</f>
        <v>xxx</v>
      </c>
      <c r="C78" s="139" t="str">
        <f t="shared" si="2"/>
        <v>xxx</v>
      </c>
      <c r="D78" s="139" t="str">
        <f t="shared" si="3"/>
        <v>xxx</v>
      </c>
      <c r="E78" s="139" t="str">
        <f>IF(D78="xxx","xxx",IF(AND($E$8=1,Eingabe!$C$7="S"),(C78+D78)*$E$3/Formeln!$L$20,IF(AND($E$8=1,Eingabe!$C$7="K"),(C78-D78)*$E$3/Formeln!$L$20,C78*$E$3/Formeln!$L$20)))</f>
        <v>xxx</v>
      </c>
      <c r="F78" s="139">
        <f>IF(Eingabe!$C$7="K",C78-D78+E78,SUM(C78:E78))</f>
        <v>0</v>
      </c>
    </row>
    <row r="79" spans="2:6" x14ac:dyDescent="0.25">
      <c r="B79" s="138" t="str">
        <f>IF(AND(Formeln!$I$11=2,B78&lt;$E$4/Formeln!$M$20),B78+1,IF(AND(Formeln!$I$11=1,B78&lt;$E$4*Formeln!$M$20),B78+1,"xxx"))</f>
        <v>xxx</v>
      </c>
      <c r="C79" s="139" t="str">
        <f t="shared" si="2"/>
        <v>xxx</v>
      </c>
      <c r="D79" s="139" t="str">
        <f t="shared" si="3"/>
        <v>xxx</v>
      </c>
      <c r="E79" s="139" t="str">
        <f>IF(D79="xxx","xxx",IF(AND($E$8=1,Eingabe!$C$7="S"),(C79+D79)*$E$3/Formeln!$L$20,IF(AND($E$8=1,Eingabe!$C$7="K"),(C79-D79)*$E$3/Formeln!$L$20,C79*$E$3/Formeln!$L$20)))</f>
        <v>xxx</v>
      </c>
      <c r="F79" s="139">
        <f>IF(Eingabe!$C$7="K",C79-D79+E79,SUM(C79:E79))</f>
        <v>0</v>
      </c>
    </row>
    <row r="80" spans="2:6" x14ac:dyDescent="0.25">
      <c r="B80" s="138" t="str">
        <f>IF(AND(Formeln!$I$11=2,B79&lt;$E$4/Formeln!$M$20),B79+1,IF(AND(Formeln!$I$11=1,B79&lt;$E$4*Formeln!$M$20),B79+1,"xxx"))</f>
        <v>xxx</v>
      </c>
      <c r="C80" s="139" t="str">
        <f t="shared" si="2"/>
        <v>xxx</v>
      </c>
      <c r="D80" s="139" t="str">
        <f t="shared" si="3"/>
        <v>xxx</v>
      </c>
      <c r="E80" s="139" t="str">
        <f>IF(D80="xxx","xxx",IF(AND($E$8=1,Eingabe!$C$7="S"),(C80+D80)*$E$3/Formeln!$L$20,IF(AND($E$8=1,Eingabe!$C$7="K"),(C80-D80)*$E$3/Formeln!$L$20,C80*$E$3/Formeln!$L$20)))</f>
        <v>xxx</v>
      </c>
      <c r="F80" s="139">
        <f>IF(Eingabe!$C$7="K",C80-D80+E80,SUM(C80:E80))</f>
        <v>0</v>
      </c>
    </row>
    <row r="81" spans="2:6" x14ac:dyDescent="0.25">
      <c r="B81" s="138" t="str">
        <f>IF(AND(Formeln!$I$11=2,B80&lt;$E$4/Formeln!$M$20),B80+1,IF(AND(Formeln!$I$11=1,B80&lt;$E$4*Formeln!$M$20),B80+1,"xxx"))</f>
        <v>xxx</v>
      </c>
      <c r="C81" s="139" t="str">
        <f t="shared" si="2"/>
        <v>xxx</v>
      </c>
      <c r="D81" s="139" t="str">
        <f t="shared" si="3"/>
        <v>xxx</v>
      </c>
      <c r="E81" s="139" t="str">
        <f>IF(D81="xxx","xxx",IF(AND($E$8=1,Eingabe!$C$7="S"),(C81+D81)*$E$3/Formeln!$L$20,IF(AND($E$8=1,Eingabe!$C$7="K"),(C81-D81)*$E$3/Formeln!$L$20,C81*$E$3/Formeln!$L$20)))</f>
        <v>xxx</v>
      </c>
      <c r="F81" s="139">
        <f>IF(Eingabe!$C$7="K",C81-D81+E81,SUM(C81:E81))</f>
        <v>0</v>
      </c>
    </row>
    <row r="82" spans="2:6" x14ac:dyDescent="0.25">
      <c r="B82" s="138" t="str">
        <f>IF(AND(Formeln!$I$11=2,B81&lt;$E$4/Formeln!$M$20),B81+1,IF(AND(Formeln!$I$11=1,B81&lt;$E$4*Formeln!$M$20),B81+1,"xxx"))</f>
        <v>xxx</v>
      </c>
      <c r="C82" s="139" t="str">
        <f t="shared" si="2"/>
        <v>xxx</v>
      </c>
      <c r="D82" s="139" t="str">
        <f t="shared" si="3"/>
        <v>xxx</v>
      </c>
      <c r="E82" s="139" t="str">
        <f>IF(D82="xxx","xxx",IF(AND($E$8=1,Eingabe!$C$7="S"),(C82+D82)*$E$3/Formeln!$L$20,IF(AND($E$8=1,Eingabe!$C$7="K"),(C82-D82)*$E$3/Formeln!$L$20,C82*$E$3/Formeln!$L$20)))</f>
        <v>xxx</v>
      </c>
      <c r="F82" s="139">
        <f>IF(Eingabe!$C$7="K",C82-D82+E82,SUM(C82:E82))</f>
        <v>0</v>
      </c>
    </row>
    <row r="83" spans="2:6" x14ac:dyDescent="0.25">
      <c r="B83" s="138" t="str">
        <f>IF(AND(Formeln!$I$11=2,B82&lt;$E$4/Formeln!$M$20),B82+1,IF(AND(Formeln!$I$11=1,B82&lt;$E$4*Formeln!$M$20),B82+1,"xxx"))</f>
        <v>xxx</v>
      </c>
      <c r="C83" s="139" t="str">
        <f t="shared" si="2"/>
        <v>xxx</v>
      </c>
      <c r="D83" s="139" t="str">
        <f t="shared" si="3"/>
        <v>xxx</v>
      </c>
      <c r="E83" s="139" t="str">
        <f>IF(D83="xxx","xxx",IF(AND($E$8=1,Eingabe!$C$7="S"),(C83+D83)*$E$3/Formeln!$L$20,IF(AND($E$8=1,Eingabe!$C$7="K"),(C83-D83)*$E$3/Formeln!$L$20,C83*$E$3/Formeln!$L$20)))</f>
        <v>xxx</v>
      </c>
      <c r="F83" s="139">
        <f>IF(Eingabe!$C$7="K",C83-D83+E83,SUM(C83:E83))</f>
        <v>0</v>
      </c>
    </row>
    <row r="84" spans="2:6" x14ac:dyDescent="0.25">
      <c r="B84" s="138" t="str">
        <f>IF(AND(Formeln!$I$11=2,B83&lt;$E$4/Formeln!$M$20),B83+1,IF(AND(Formeln!$I$11=1,B83&lt;$E$4*Formeln!$M$20),B83+1,"xxx"))</f>
        <v>xxx</v>
      </c>
      <c r="C84" s="139" t="str">
        <f t="shared" si="2"/>
        <v>xxx</v>
      </c>
      <c r="D84" s="139" t="str">
        <f t="shared" si="3"/>
        <v>xxx</v>
      </c>
      <c r="E84" s="139" t="str">
        <f>IF(D84="xxx","xxx",IF(AND($E$8=1,Eingabe!$C$7="S"),(C84+D84)*$E$3/Formeln!$L$20,IF(AND($E$8=1,Eingabe!$C$7="K"),(C84-D84)*$E$3/Formeln!$L$20,C84*$E$3/Formeln!$L$20)))</f>
        <v>xxx</v>
      </c>
      <c r="F84" s="139">
        <f>IF(Eingabe!$C$7="K",C84-D84+E84,SUM(C84:E84))</f>
        <v>0</v>
      </c>
    </row>
    <row r="85" spans="2:6" x14ac:dyDescent="0.25">
      <c r="B85" s="138" t="str">
        <f>IF(AND(Formeln!$I$11=2,B84&lt;$E$4/Formeln!$M$20),B84+1,IF(AND(Formeln!$I$11=1,B84&lt;$E$4*Formeln!$M$20),B84+1,"xxx"))</f>
        <v>xxx</v>
      </c>
      <c r="C85" s="139" t="str">
        <f t="shared" si="2"/>
        <v>xxx</v>
      </c>
      <c r="D85" s="139" t="str">
        <f t="shared" si="3"/>
        <v>xxx</v>
      </c>
      <c r="E85" s="139" t="str">
        <f>IF(D85="xxx","xxx",IF(AND($E$8=1,Eingabe!$C$7="S"),(C85+D85)*$E$3/Formeln!$L$20,IF(AND($E$8=1,Eingabe!$C$7="K"),(C85-D85)*$E$3/Formeln!$L$20,C85*$E$3/Formeln!$L$20)))</f>
        <v>xxx</v>
      </c>
      <c r="F85" s="139">
        <f>IF(Eingabe!$C$7="K",C85-D85+E85,SUM(C85:E85))</f>
        <v>0</v>
      </c>
    </row>
    <row r="86" spans="2:6" x14ac:dyDescent="0.25">
      <c r="B86" s="138" t="str">
        <f>IF(AND(Formeln!$I$11=2,B85&lt;$E$4/Formeln!$M$20),B85+1,IF(AND(Formeln!$I$11=1,B85&lt;$E$4*Formeln!$M$20),B85+1,"xxx"))</f>
        <v>xxx</v>
      </c>
      <c r="C86" s="139" t="str">
        <f t="shared" si="2"/>
        <v>xxx</v>
      </c>
      <c r="D86" s="139" t="str">
        <f t="shared" si="3"/>
        <v>xxx</v>
      </c>
      <c r="E86" s="139" t="str">
        <f>IF(D86="xxx","xxx",IF(AND($E$8=1,Eingabe!$C$7="S"),(C86+D86)*$E$3/Formeln!$L$20,IF(AND($E$8=1,Eingabe!$C$7="K"),(C86-D86)*$E$3/Formeln!$L$20,C86*$E$3/Formeln!$L$20)))</f>
        <v>xxx</v>
      </c>
      <c r="F86" s="139">
        <f>IF(Eingabe!$C$7="K",C86-D86+E86,SUM(C86:E86))</f>
        <v>0</v>
      </c>
    </row>
    <row r="87" spans="2:6" x14ac:dyDescent="0.25">
      <c r="B87" s="138" t="str">
        <f>IF(AND(Formeln!$I$11=2,B86&lt;$E$4/Formeln!$M$20),B86+1,IF(AND(Formeln!$I$11=1,B86&lt;$E$4*Formeln!$M$20),B86+1,"xxx"))</f>
        <v>xxx</v>
      </c>
      <c r="C87" s="139" t="str">
        <f t="shared" si="2"/>
        <v>xxx</v>
      </c>
      <c r="D87" s="139" t="str">
        <f t="shared" si="3"/>
        <v>xxx</v>
      </c>
      <c r="E87" s="139" t="str">
        <f>IF(D87="xxx","xxx",IF(AND($E$8=1,Eingabe!$C$7="S"),(C87+D87)*$E$3/Formeln!$L$20,IF(AND($E$8=1,Eingabe!$C$7="K"),(C87-D87)*$E$3/Formeln!$L$20,C87*$E$3/Formeln!$L$20)))</f>
        <v>xxx</v>
      </c>
      <c r="F87" s="139">
        <f>IF(Eingabe!$C$7="K",C87-D87+E87,SUM(C87:E87))</f>
        <v>0</v>
      </c>
    </row>
    <row r="88" spans="2:6" x14ac:dyDescent="0.25">
      <c r="B88" s="138" t="str">
        <f>IF(AND(Formeln!$I$11=2,B87&lt;$E$4/Formeln!$M$20),B87+1,IF(AND(Formeln!$I$11=1,B87&lt;$E$4*Formeln!$M$20),B87+1,"xxx"))</f>
        <v>xxx</v>
      </c>
      <c r="C88" s="139" t="str">
        <f t="shared" si="2"/>
        <v>xxx</v>
      </c>
      <c r="D88" s="139" t="str">
        <f t="shared" si="3"/>
        <v>xxx</v>
      </c>
      <c r="E88" s="139" t="str">
        <f>IF(D88="xxx","xxx",IF(AND($E$8=1,Eingabe!$C$7="S"),(C88+D88)*$E$3/Formeln!$L$20,IF(AND($E$8=1,Eingabe!$C$7="K"),(C88-D88)*$E$3/Formeln!$L$20,C88*$E$3/Formeln!$L$20)))</f>
        <v>xxx</v>
      </c>
      <c r="F88" s="139">
        <f>IF(Eingabe!$C$7="K",C88-D88+E88,SUM(C88:E88))</f>
        <v>0</v>
      </c>
    </row>
    <row r="89" spans="2:6" x14ac:dyDescent="0.25">
      <c r="B89" s="138" t="str">
        <f>IF(AND(Formeln!$I$11=2,B88&lt;$E$4/Formeln!$M$20),B88+1,IF(AND(Formeln!$I$11=1,B88&lt;$E$4*Formeln!$M$20),B88+1,"xxx"))</f>
        <v>xxx</v>
      </c>
      <c r="C89" s="139" t="str">
        <f t="shared" si="2"/>
        <v>xxx</v>
      </c>
      <c r="D89" s="139" t="str">
        <f t="shared" si="3"/>
        <v>xxx</v>
      </c>
      <c r="E89" s="139" t="str">
        <f>IF(D89="xxx","xxx",IF(AND($E$8=1,Eingabe!$C$7="S"),(C89+D89)*$E$3/Formeln!$L$20,IF(AND($E$8=1,Eingabe!$C$7="K"),(C89-D89)*$E$3/Formeln!$L$20,C89*$E$3/Formeln!$L$20)))</f>
        <v>xxx</v>
      </c>
      <c r="F89" s="139">
        <f>IF(Eingabe!$C$7="K",C89-D89+E89,SUM(C89:E89))</f>
        <v>0</v>
      </c>
    </row>
    <row r="90" spans="2:6" x14ac:dyDescent="0.25">
      <c r="B90" s="138" t="str">
        <f>IF(AND(Formeln!$I$11=2,B89&lt;$E$4/Formeln!$M$20),B89+1,IF(AND(Formeln!$I$11=1,B89&lt;$E$4*Formeln!$M$20),B89+1,"xxx"))</f>
        <v>xxx</v>
      </c>
      <c r="C90" s="139" t="str">
        <f t="shared" si="2"/>
        <v>xxx</v>
      </c>
      <c r="D90" s="139" t="str">
        <f t="shared" si="3"/>
        <v>xxx</v>
      </c>
      <c r="E90" s="139" t="str">
        <f>IF(D90="xxx","xxx",IF(AND($E$8=1,Eingabe!$C$7="S"),(C90+D90)*$E$3/Formeln!$L$20,IF(AND($E$8=1,Eingabe!$C$7="K"),(C90-D90)*$E$3/Formeln!$L$20,C90*$E$3/Formeln!$L$20)))</f>
        <v>xxx</v>
      </c>
      <c r="F90" s="139">
        <f>IF(Eingabe!$C$7="K",C90-D90+E90,SUM(C90:E90))</f>
        <v>0</v>
      </c>
    </row>
    <row r="91" spans="2:6" x14ac:dyDescent="0.25">
      <c r="B91" s="138" t="str">
        <f>IF(AND(Formeln!$I$11=2,B90&lt;$E$4/Formeln!$M$20),B90+1,IF(AND(Formeln!$I$11=1,B90&lt;$E$4*Formeln!$M$20),B90+1,"xxx"))</f>
        <v>xxx</v>
      </c>
      <c r="C91" s="139" t="str">
        <f t="shared" si="2"/>
        <v>xxx</v>
      </c>
      <c r="D91" s="139" t="str">
        <f t="shared" si="3"/>
        <v>xxx</v>
      </c>
      <c r="E91" s="139" t="str">
        <f>IF(D91="xxx","xxx",IF(AND($E$8=1,Eingabe!$C$7="S"),(C91+D91)*$E$3/Formeln!$L$20,IF(AND($E$8=1,Eingabe!$C$7="K"),(C91-D91)*$E$3/Formeln!$L$20,C91*$E$3/Formeln!$L$20)))</f>
        <v>xxx</v>
      </c>
      <c r="F91" s="139">
        <f>IF(Eingabe!$C$7="K",C91-D91+E91,SUM(C91:E91))</f>
        <v>0</v>
      </c>
    </row>
    <row r="92" spans="2:6" x14ac:dyDescent="0.25">
      <c r="B92" s="138" t="str">
        <f>IF(AND(Formeln!$I$11=2,B91&lt;$E$4/Formeln!$M$20),B91+1,IF(AND(Formeln!$I$11=1,B91&lt;$E$4*Formeln!$M$20),B91+1,"xxx"))</f>
        <v>xxx</v>
      </c>
      <c r="C92" s="139" t="str">
        <f t="shared" si="2"/>
        <v>xxx</v>
      </c>
      <c r="D92" s="139" t="str">
        <f t="shared" si="3"/>
        <v>xxx</v>
      </c>
      <c r="E92" s="139" t="str">
        <f>IF(D92="xxx","xxx",IF(AND($E$8=1,Eingabe!$C$7="S"),(C92+D92)*$E$3/Formeln!$L$20,IF(AND($E$8=1,Eingabe!$C$7="K"),(C92-D92)*$E$3/Formeln!$L$20,C92*$E$3/Formeln!$L$20)))</f>
        <v>xxx</v>
      </c>
      <c r="F92" s="139">
        <f>IF(Eingabe!$C$7="K",C92-D92+E92,SUM(C92:E92))</f>
        <v>0</v>
      </c>
    </row>
    <row r="93" spans="2:6" x14ac:dyDescent="0.25">
      <c r="B93" s="138" t="str">
        <f>IF(AND(Formeln!$I$11=2,B92&lt;$E$4/Formeln!$M$20),B92+1,IF(AND(Formeln!$I$11=1,B92&lt;$E$4*Formeln!$M$20),B92+1,"xxx"))</f>
        <v>xxx</v>
      </c>
      <c r="C93" s="139" t="str">
        <f t="shared" si="2"/>
        <v>xxx</v>
      </c>
      <c r="D93" s="139" t="str">
        <f t="shared" si="3"/>
        <v>xxx</v>
      </c>
      <c r="E93" s="139" t="str">
        <f>IF(D93="xxx","xxx",IF(AND($E$8=1,Eingabe!$C$7="S"),(C93+D93)*$E$3/Formeln!$L$20,IF(AND($E$8=1,Eingabe!$C$7="K"),(C93-D93)*$E$3/Formeln!$L$20,C93*$E$3/Formeln!$L$20)))</f>
        <v>xxx</v>
      </c>
      <c r="F93" s="139">
        <f>IF(Eingabe!$C$7="K",C93-D93+E93,SUM(C93:E93))</f>
        <v>0</v>
      </c>
    </row>
    <row r="94" spans="2:6" x14ac:dyDescent="0.25">
      <c r="B94" s="138" t="str">
        <f>IF(AND(Formeln!$I$11=2,B93&lt;$E$4/Formeln!$M$20),B93+1,IF(AND(Formeln!$I$11=1,B93&lt;$E$4*Formeln!$M$20),B93+1,"xxx"))</f>
        <v>xxx</v>
      </c>
      <c r="C94" s="139" t="str">
        <f t="shared" si="2"/>
        <v>xxx</v>
      </c>
      <c r="D94" s="139" t="str">
        <f t="shared" si="3"/>
        <v>xxx</v>
      </c>
      <c r="E94" s="139" t="str">
        <f>IF(D94="xxx","xxx",IF(AND($E$8=1,Eingabe!$C$7="S"),(C94+D94)*$E$3/Formeln!$L$20,IF(AND($E$8=1,Eingabe!$C$7="K"),(C94-D94)*$E$3/Formeln!$L$20,C94*$E$3/Formeln!$L$20)))</f>
        <v>xxx</v>
      </c>
      <c r="F94" s="139">
        <f>IF(Eingabe!$C$7="K",C94-D94+E94,SUM(C94:E94))</f>
        <v>0</v>
      </c>
    </row>
    <row r="95" spans="2:6" x14ac:dyDescent="0.25">
      <c r="B95" s="138" t="str">
        <f>IF(AND(Formeln!$I$11=2,B94&lt;$E$4/Formeln!$M$20),B94+1,IF(AND(Formeln!$I$11=1,B94&lt;$E$4*Formeln!$M$20),B94+1,"xxx"))</f>
        <v>xxx</v>
      </c>
      <c r="C95" s="139" t="str">
        <f t="shared" si="2"/>
        <v>xxx</v>
      </c>
      <c r="D95" s="139" t="str">
        <f t="shared" si="3"/>
        <v>xxx</v>
      </c>
      <c r="E95" s="139" t="str">
        <f>IF(D95="xxx","xxx",IF(AND($E$8=1,Eingabe!$C$7="S"),(C95+D95)*$E$3/Formeln!$L$20,IF(AND($E$8=1,Eingabe!$C$7="K"),(C95-D95)*$E$3/Formeln!$L$20,C95*$E$3/Formeln!$L$20)))</f>
        <v>xxx</v>
      </c>
      <c r="F95" s="139">
        <f>IF(Eingabe!$C$7="K",C95-D95+E95,SUM(C95:E95))</f>
        <v>0</v>
      </c>
    </row>
    <row r="96" spans="2:6" x14ac:dyDescent="0.25">
      <c r="B96" s="138" t="str">
        <f>IF(AND(Formeln!$I$11=2,B95&lt;$E$4/Formeln!$M$20),B95+1,IF(AND(Formeln!$I$11=1,B95&lt;$E$4*Formeln!$M$20),B95+1,"xxx"))</f>
        <v>xxx</v>
      </c>
      <c r="C96" s="139" t="str">
        <f t="shared" si="2"/>
        <v>xxx</v>
      </c>
      <c r="D96" s="139" t="str">
        <f t="shared" si="3"/>
        <v>xxx</v>
      </c>
      <c r="E96" s="139" t="str">
        <f>IF(D96="xxx","xxx",IF(AND($E$8=1,Eingabe!$C$7="S"),(C96+D96)*$E$3/Formeln!$L$20,IF(AND($E$8=1,Eingabe!$C$7="K"),(C96-D96)*$E$3/Formeln!$L$20,C96*$E$3/Formeln!$L$20)))</f>
        <v>xxx</v>
      </c>
      <c r="F96" s="139">
        <f>IF(Eingabe!$C$7="K",C96-D96+E96,SUM(C96:E96))</f>
        <v>0</v>
      </c>
    </row>
    <row r="97" spans="2:6" x14ac:dyDescent="0.25">
      <c r="B97" s="138" t="str">
        <f>IF(AND(Formeln!$I$11=2,B96&lt;$E$4/Formeln!$M$20),B96+1,IF(AND(Formeln!$I$11=1,B96&lt;$E$4*Formeln!$M$20),B96+1,"xxx"))</f>
        <v>xxx</v>
      </c>
      <c r="C97" s="139" t="str">
        <f t="shared" si="2"/>
        <v>xxx</v>
      </c>
      <c r="D97" s="139" t="str">
        <f t="shared" si="3"/>
        <v>xxx</v>
      </c>
      <c r="E97" s="139" t="str">
        <f>IF(D97="xxx","xxx",IF(AND($E$8=1,Eingabe!$C$7="S"),(C97+D97)*$E$3/Formeln!$L$20,IF(AND($E$8=1,Eingabe!$C$7="K"),(C97-D97)*$E$3/Formeln!$L$20,C97*$E$3/Formeln!$L$20)))</f>
        <v>xxx</v>
      </c>
      <c r="F97" s="139">
        <f>IF(Eingabe!$C$7="K",C97-D97+E97,SUM(C97:E97))</f>
        <v>0</v>
      </c>
    </row>
    <row r="98" spans="2:6" x14ac:dyDescent="0.25">
      <c r="B98" s="138" t="str">
        <f>IF(AND(Formeln!$I$11=2,B97&lt;$E$4/Formeln!$M$20),B97+1,IF(AND(Formeln!$I$11=1,B97&lt;$E$4*Formeln!$M$20),B97+1,"xxx"))</f>
        <v>xxx</v>
      </c>
      <c r="C98" s="139" t="str">
        <f t="shared" si="2"/>
        <v>xxx</v>
      </c>
      <c r="D98" s="139" t="str">
        <f t="shared" si="3"/>
        <v>xxx</v>
      </c>
      <c r="E98" s="139" t="str">
        <f>IF(D98="xxx","xxx",IF(AND($E$8=1,Eingabe!$C$7="S"),(C98+D98)*$E$3/Formeln!$L$20,IF(AND($E$8=1,Eingabe!$C$7="K"),(C98-D98)*$E$3/Formeln!$L$20,C98*$E$3/Formeln!$L$20)))</f>
        <v>xxx</v>
      </c>
      <c r="F98" s="139">
        <f>IF(Eingabe!$C$7="K",C98-D98+E98,SUM(C98:E98))</f>
        <v>0</v>
      </c>
    </row>
    <row r="99" spans="2:6" x14ac:dyDescent="0.25">
      <c r="B99" s="138" t="str">
        <f>IF(AND(Formeln!$I$11=2,B98&lt;$E$4/Formeln!$M$20),B98+1,IF(AND(Formeln!$I$11=1,B98&lt;$E$4*Formeln!$M$20),B98+1,"xxx"))</f>
        <v>xxx</v>
      </c>
      <c r="C99" s="139" t="str">
        <f t="shared" si="2"/>
        <v>xxx</v>
      </c>
      <c r="D99" s="139" t="str">
        <f t="shared" si="3"/>
        <v>xxx</v>
      </c>
      <c r="E99" s="139" t="str">
        <f>IF(D99="xxx","xxx",IF(AND($E$8=1,Eingabe!$C$7="S"),(C99+D99)*$E$3/Formeln!$L$20,IF(AND($E$8=1,Eingabe!$C$7="K"),(C99-D99)*$E$3/Formeln!$L$20,C99*$E$3/Formeln!$L$20)))</f>
        <v>xxx</v>
      </c>
      <c r="F99" s="139">
        <f>IF(Eingabe!$C$7="K",C99-D99+E99,SUM(C99:E99))</f>
        <v>0</v>
      </c>
    </row>
    <row r="100" spans="2:6" x14ac:dyDescent="0.25">
      <c r="B100" s="138" t="str">
        <f>IF(AND(Formeln!$I$11=2,B99&lt;$E$4/Formeln!$M$20),B99+1,IF(AND(Formeln!$I$11=1,B99&lt;$E$4*Formeln!$M$20),B99+1,"xxx"))</f>
        <v>xxx</v>
      </c>
      <c r="C100" s="139" t="str">
        <f t="shared" si="2"/>
        <v>xxx</v>
      </c>
      <c r="D100" s="139" t="str">
        <f t="shared" si="3"/>
        <v>xxx</v>
      </c>
      <c r="E100" s="139" t="str">
        <f>IF(D100="xxx","xxx",IF(AND($E$8=1,Eingabe!$C$7="S"),(C100+D100)*$E$3/Formeln!$L$20,IF(AND($E$8=1,Eingabe!$C$7="K"),(C100-D100)*$E$3/Formeln!$L$20,C100*$E$3/Formeln!$L$20)))</f>
        <v>xxx</v>
      </c>
      <c r="F100" s="139">
        <f>IF(Eingabe!$C$7="K",C100-D100+E100,SUM(C100:E100))</f>
        <v>0</v>
      </c>
    </row>
    <row r="101" spans="2:6" x14ac:dyDescent="0.25">
      <c r="B101" s="138" t="str">
        <f>IF(AND(Formeln!$I$11=2,B100&lt;$E$4/Formeln!$M$20),B100+1,IF(AND(Formeln!$I$11=1,B100&lt;$E$4*Formeln!$M$20),B100+1,"xxx"))</f>
        <v>xxx</v>
      </c>
      <c r="C101" s="139" t="str">
        <f t="shared" si="2"/>
        <v>xxx</v>
      </c>
      <c r="D101" s="139" t="str">
        <f t="shared" si="3"/>
        <v>xxx</v>
      </c>
      <c r="E101" s="139" t="str">
        <f>IF(D101="xxx","xxx",IF(AND($E$8=1,Eingabe!$C$7="S"),(C101+D101)*$E$3/Formeln!$L$20,IF(AND($E$8=1,Eingabe!$C$7="K"),(C101-D101)*$E$3/Formeln!$L$20,C101*$E$3/Formeln!$L$20)))</f>
        <v>xxx</v>
      </c>
      <c r="F101" s="139">
        <f>IF(Eingabe!$C$7="K",C101-D101+E101,SUM(C101:E101))</f>
        <v>0</v>
      </c>
    </row>
    <row r="102" spans="2:6" x14ac:dyDescent="0.25">
      <c r="B102" s="138" t="str">
        <f>IF(AND(Formeln!$I$11=2,B101&lt;$E$4/Formeln!$M$20),B101+1,IF(AND(Formeln!$I$11=1,B101&lt;$E$4*Formeln!$M$20),B101+1,"xxx"))</f>
        <v>xxx</v>
      </c>
      <c r="C102" s="139" t="str">
        <f t="shared" si="2"/>
        <v>xxx</v>
      </c>
      <c r="D102" s="139" t="str">
        <f t="shared" si="3"/>
        <v>xxx</v>
      </c>
      <c r="E102" s="139" t="str">
        <f>IF(D102="xxx","xxx",IF(AND($E$8=1,Eingabe!$C$7="S"),(C102+D102)*$E$3/Formeln!$L$20,IF(AND($E$8=1,Eingabe!$C$7="K"),(C102-D102)*$E$3/Formeln!$L$20,C102*$E$3/Formeln!$L$20)))</f>
        <v>xxx</v>
      </c>
      <c r="F102" s="139">
        <f>IF(Eingabe!$C$7="K",C102-D102+E102,SUM(C102:E102))</f>
        <v>0</v>
      </c>
    </row>
    <row r="103" spans="2:6" x14ac:dyDescent="0.25">
      <c r="B103" s="138" t="str">
        <f>IF(AND(Formeln!$I$11=2,B102&lt;$E$4/Formeln!$M$20),B102+1,IF(AND(Formeln!$I$11=1,B102&lt;$E$4*Formeln!$M$20),B102+1,"xxx"))</f>
        <v>xxx</v>
      </c>
      <c r="C103" s="139" t="str">
        <f t="shared" si="2"/>
        <v>xxx</v>
      </c>
      <c r="D103" s="139" t="str">
        <f t="shared" si="3"/>
        <v>xxx</v>
      </c>
      <c r="E103" s="139" t="str">
        <f>IF(D103="xxx","xxx",IF(AND($E$8=1,Eingabe!$C$7="S"),(C103+D103)*$E$3/Formeln!$L$20,IF(AND($E$8=1,Eingabe!$C$7="K"),(C103-D103)*$E$3/Formeln!$L$20,C103*$E$3/Formeln!$L$20)))</f>
        <v>xxx</v>
      </c>
      <c r="F103" s="139">
        <f>IF(Eingabe!$C$7="K",C103-D103+E103,SUM(C103:E103))</f>
        <v>0</v>
      </c>
    </row>
    <row r="104" spans="2:6" x14ac:dyDescent="0.25">
      <c r="B104" s="138" t="str">
        <f>IF(AND(Formeln!$I$11=2,B103&lt;$E$4/Formeln!$M$20),B103+1,IF(AND(Formeln!$I$11=1,B103&lt;$E$4*Formeln!$M$20),B103+1,"xxx"))</f>
        <v>xxx</v>
      </c>
      <c r="C104" s="139" t="str">
        <f t="shared" si="2"/>
        <v>xxx</v>
      </c>
      <c r="D104" s="139" t="str">
        <f t="shared" si="3"/>
        <v>xxx</v>
      </c>
      <c r="E104" s="139" t="str">
        <f>IF(D104="xxx","xxx",IF(AND($E$8=1,Eingabe!$C$7="S"),(C104+D104)*$E$3/Formeln!$L$20,IF(AND($E$8=1,Eingabe!$C$7="K"),(C104-D104)*$E$3/Formeln!$L$20,C104*$E$3/Formeln!$L$20)))</f>
        <v>xxx</v>
      </c>
      <c r="F104" s="139">
        <f>IF(Eingabe!$C$7="K",C104-D104+E104,SUM(C104:E104))</f>
        <v>0</v>
      </c>
    </row>
    <row r="105" spans="2:6" x14ac:dyDescent="0.25">
      <c r="B105" s="138" t="str">
        <f>IF(AND(Formeln!$I$11=2,B104&lt;$E$4/Formeln!$M$20),B104+1,IF(AND(Formeln!$I$11=1,B104&lt;$E$4*Formeln!$M$20),B104+1,"xxx"))</f>
        <v>xxx</v>
      </c>
      <c r="C105" s="139" t="str">
        <f t="shared" si="2"/>
        <v>xxx</v>
      </c>
      <c r="D105" s="139" t="str">
        <f t="shared" si="3"/>
        <v>xxx</v>
      </c>
      <c r="E105" s="139" t="str">
        <f>IF(D105="xxx","xxx",IF(AND($E$8=1,Eingabe!$C$7="S"),(C105+D105)*$E$3/Formeln!$L$20,IF(AND($E$8=1,Eingabe!$C$7="K"),(C105-D105)*$E$3/Formeln!$L$20,C105*$E$3/Formeln!$L$20)))</f>
        <v>xxx</v>
      </c>
      <c r="F105" s="139">
        <f>IF(Eingabe!$C$7="K",C105-D105+E105,SUM(C105:E105))</f>
        <v>0</v>
      </c>
    </row>
    <row r="106" spans="2:6" x14ac:dyDescent="0.25">
      <c r="B106" s="138" t="str">
        <f>IF(AND(Formeln!$I$11=2,B105&lt;$E$4/Formeln!$M$20),B105+1,IF(AND(Formeln!$I$11=1,B105&lt;$E$4*Formeln!$M$20),B105+1,"xxx"))</f>
        <v>xxx</v>
      </c>
      <c r="C106" s="139" t="str">
        <f t="shared" si="2"/>
        <v>xxx</v>
      </c>
      <c r="D106" s="139" t="str">
        <f t="shared" si="3"/>
        <v>xxx</v>
      </c>
      <c r="E106" s="139" t="str">
        <f>IF(D106="xxx","xxx",IF(AND($E$8=1,Eingabe!$C$7="S"),(C106+D106)*$E$3/Formeln!$L$20,IF(AND($E$8=1,Eingabe!$C$7="K"),(C106-D106)*$E$3/Formeln!$L$20,C106*$E$3/Formeln!$L$20)))</f>
        <v>xxx</v>
      </c>
      <c r="F106" s="139">
        <f>IF(Eingabe!$C$7="K",C106-D106+E106,SUM(C106:E106))</f>
        <v>0</v>
      </c>
    </row>
    <row r="107" spans="2:6" x14ac:dyDescent="0.25">
      <c r="B107" s="138" t="str">
        <f>IF(AND(Formeln!$I$11=2,B106&lt;$E$4/Formeln!$M$20),B106+1,IF(AND(Formeln!$I$11=1,B106&lt;$E$4*Formeln!$M$20),B106+1,"xxx"))</f>
        <v>xxx</v>
      </c>
      <c r="C107" s="139" t="str">
        <f t="shared" si="2"/>
        <v>xxx</v>
      </c>
      <c r="D107" s="139" t="str">
        <f t="shared" si="3"/>
        <v>xxx</v>
      </c>
      <c r="E107" s="139" t="str">
        <f>IF(D107="xxx","xxx",IF(AND($E$8=1,Eingabe!$C$7="S"),(C107+D107)*$E$3/Formeln!$L$20,IF(AND($E$8=1,Eingabe!$C$7="K"),(C107-D107)*$E$3/Formeln!$L$20,C107*$E$3/Formeln!$L$20)))</f>
        <v>xxx</v>
      </c>
      <c r="F107" s="139">
        <f>IF(Eingabe!$C$7="K",C107-D107+E107,SUM(C107:E107))</f>
        <v>0</v>
      </c>
    </row>
    <row r="108" spans="2:6" x14ac:dyDescent="0.25">
      <c r="B108" s="138" t="str">
        <f>IF(AND(Formeln!$I$11=2,B107&lt;$E$4/Formeln!$M$20),B107+1,IF(AND(Formeln!$I$11=1,B107&lt;$E$4*Formeln!$M$20),B107+1,"xxx"))</f>
        <v>xxx</v>
      </c>
      <c r="C108" s="139" t="str">
        <f t="shared" si="2"/>
        <v>xxx</v>
      </c>
      <c r="D108" s="139" t="str">
        <f t="shared" si="3"/>
        <v>xxx</v>
      </c>
      <c r="E108" s="139" t="str">
        <f>IF(D108="xxx","xxx",IF(AND($E$8=1,Eingabe!$C$7="S"),(C108+D108)*$E$3/Formeln!$L$20,IF(AND($E$8=1,Eingabe!$C$7="K"),(C108-D108)*$E$3/Formeln!$L$20,C108*$E$3/Formeln!$L$20)))</f>
        <v>xxx</v>
      </c>
      <c r="F108" s="139">
        <f>IF(Eingabe!$C$7="K",C108-D108+E108,SUM(C108:E108))</f>
        <v>0</v>
      </c>
    </row>
    <row r="109" spans="2:6" x14ac:dyDescent="0.25">
      <c r="B109" s="138" t="str">
        <f>IF(AND(Formeln!$I$11=2,B108&lt;$E$4/Formeln!$M$20),B108+1,IF(AND(Formeln!$I$11=1,B108&lt;$E$4*Formeln!$M$20),B108+1,"xxx"))</f>
        <v>xxx</v>
      </c>
      <c r="C109" s="139" t="str">
        <f t="shared" si="2"/>
        <v>xxx</v>
      </c>
      <c r="D109" s="139" t="str">
        <f t="shared" si="3"/>
        <v>xxx</v>
      </c>
      <c r="E109" s="139" t="str">
        <f>IF(D109="xxx","xxx",IF(AND($E$8=1,Eingabe!$C$7="S"),(C109+D109)*$E$3/Formeln!$L$20,IF(AND($E$8=1,Eingabe!$C$7="K"),(C109-D109)*$E$3/Formeln!$L$20,C109*$E$3/Formeln!$L$20)))</f>
        <v>xxx</v>
      </c>
      <c r="F109" s="139">
        <f>IF(Eingabe!$C$7="K",C109-D109+E109,SUM(C109:E109))</f>
        <v>0</v>
      </c>
    </row>
    <row r="110" spans="2:6" x14ac:dyDescent="0.25">
      <c r="B110" s="138" t="str">
        <f>IF(AND(Formeln!$I$11=2,B109&lt;$E$4/Formeln!$M$20),B109+1,IF(AND(Formeln!$I$11=1,B109&lt;$E$4*Formeln!$M$20),B109+1,"xxx"))</f>
        <v>xxx</v>
      </c>
      <c r="C110" s="139" t="str">
        <f t="shared" si="2"/>
        <v>xxx</v>
      </c>
      <c r="D110" s="139" t="str">
        <f t="shared" si="3"/>
        <v>xxx</v>
      </c>
      <c r="E110" s="139" t="str">
        <f>IF(D110="xxx","xxx",IF(AND($E$8=1,Eingabe!$C$7="S"),(C110+D110)*$E$3/Formeln!$L$20,IF(AND($E$8=1,Eingabe!$C$7="K"),(C110-D110)*$E$3/Formeln!$L$20,C110*$E$3/Formeln!$L$20)))</f>
        <v>xxx</v>
      </c>
      <c r="F110" s="139">
        <f>IF(Eingabe!$C$7="K",C110-D110+E110,SUM(C110:E110))</f>
        <v>0</v>
      </c>
    </row>
    <row r="111" spans="2:6" x14ac:dyDescent="0.25">
      <c r="B111" s="138" t="str">
        <f>IF(AND(Formeln!$I$11=2,B110&lt;$E$4/Formeln!$M$20),B110+1,IF(AND(Formeln!$I$11=1,B110&lt;$E$4*Formeln!$M$20),B110+1,"xxx"))</f>
        <v>xxx</v>
      </c>
      <c r="C111" s="139" t="str">
        <f t="shared" si="2"/>
        <v>xxx</v>
      </c>
      <c r="D111" s="139" t="str">
        <f t="shared" si="3"/>
        <v>xxx</v>
      </c>
      <c r="E111" s="139" t="str">
        <f>IF(D111="xxx","xxx",IF(AND($E$8=1,Eingabe!$C$7="S"),(C111+D111)*$E$3/Formeln!$L$20,IF(AND($E$8=1,Eingabe!$C$7="K"),(C111-D111)*$E$3/Formeln!$L$20,C111*$E$3/Formeln!$L$20)))</f>
        <v>xxx</v>
      </c>
      <c r="F111" s="139">
        <f>IF(Eingabe!$C$7="K",C111-D111+E111,SUM(C111:E111))</f>
        <v>0</v>
      </c>
    </row>
    <row r="112" spans="2:6" x14ac:dyDescent="0.25">
      <c r="B112" s="138" t="str">
        <f>IF(AND(Formeln!$I$11=2,B111&lt;$E$4/Formeln!$M$20),B111+1,IF(AND(Formeln!$I$11=1,B111&lt;$E$4*Formeln!$M$20),B111+1,"xxx"))</f>
        <v>xxx</v>
      </c>
      <c r="C112" s="139" t="str">
        <f t="shared" si="2"/>
        <v>xxx</v>
      </c>
      <c r="D112" s="139" t="str">
        <f t="shared" si="3"/>
        <v>xxx</v>
      </c>
      <c r="E112" s="139" t="str">
        <f>IF(D112="xxx","xxx",IF(AND($E$8=1,Eingabe!$C$7="S"),(C112+D112)*$E$3/Formeln!$L$20,IF(AND($E$8=1,Eingabe!$C$7="K"),(C112-D112)*$E$3/Formeln!$L$20,C112*$E$3/Formeln!$L$20)))</f>
        <v>xxx</v>
      </c>
      <c r="F112" s="139">
        <f>IF(Eingabe!$C$7="K",C112-D112+E112,SUM(C112:E112))</f>
        <v>0</v>
      </c>
    </row>
    <row r="113" spans="2:6" x14ac:dyDescent="0.25">
      <c r="B113" s="138" t="str">
        <f>IF(AND(Formeln!$I$11=2,B112&lt;$E$4/Formeln!$M$20),B112+1,IF(AND(Formeln!$I$11=1,B112&lt;$E$4*Formeln!$M$20),B112+1,"xxx"))</f>
        <v>xxx</v>
      </c>
      <c r="C113" s="139" t="str">
        <f t="shared" si="2"/>
        <v>xxx</v>
      </c>
      <c r="D113" s="139" t="str">
        <f t="shared" si="3"/>
        <v>xxx</v>
      </c>
      <c r="E113" s="139" t="str">
        <f>IF(D113="xxx","xxx",IF(AND($E$8=1,Eingabe!$C$7="S"),(C113+D113)*$E$3/Formeln!$L$20,IF(AND($E$8=1,Eingabe!$C$7="K"),(C113-D113)*$E$3/Formeln!$L$20,C113*$E$3/Formeln!$L$20)))</f>
        <v>xxx</v>
      </c>
      <c r="F113" s="139">
        <f>IF(Eingabe!$C$7="K",C113-D113+E113,SUM(C113:E113))</f>
        <v>0</v>
      </c>
    </row>
    <row r="114" spans="2:6" x14ac:dyDescent="0.25">
      <c r="B114" s="138" t="str">
        <f>IF(AND(Formeln!$I$11=2,B113&lt;$E$4/Formeln!$M$20),B113+1,IF(AND(Formeln!$I$11=1,B113&lt;$E$4*Formeln!$M$20),B113+1,"xxx"))</f>
        <v>xxx</v>
      </c>
      <c r="C114" s="139" t="str">
        <f t="shared" si="2"/>
        <v>xxx</v>
      </c>
      <c r="D114" s="139" t="str">
        <f t="shared" si="3"/>
        <v>xxx</v>
      </c>
      <c r="E114" s="139" t="str">
        <f>IF(D114="xxx","xxx",IF(AND($E$8=1,Eingabe!$C$7="S"),(C114+D114)*$E$3/Formeln!$L$20,IF(AND($E$8=1,Eingabe!$C$7="K"),(C114-D114)*$E$3/Formeln!$L$20,C114*$E$3/Formeln!$L$20)))</f>
        <v>xxx</v>
      </c>
      <c r="F114" s="139">
        <f>IF(Eingabe!$C$7="K",C114-D114+E114,SUM(C114:E114))</f>
        <v>0</v>
      </c>
    </row>
    <row r="115" spans="2:6" x14ac:dyDescent="0.25">
      <c r="B115" s="138" t="str">
        <f>IF(AND(Formeln!$I$11=2,B114&lt;$E$4/Formeln!$M$20),B114+1,IF(AND(Formeln!$I$11=1,B114&lt;$E$4*Formeln!$M$20),B114+1,"xxx"))</f>
        <v>xxx</v>
      </c>
      <c r="C115" s="139" t="str">
        <f t="shared" si="2"/>
        <v>xxx</v>
      </c>
      <c r="D115" s="139" t="str">
        <f t="shared" si="3"/>
        <v>xxx</v>
      </c>
      <c r="E115" s="139" t="str">
        <f>IF(D115="xxx","xxx",IF(AND($E$8=1,Eingabe!$C$7="S"),(C115+D115)*$E$3/Formeln!$L$20,IF(AND($E$8=1,Eingabe!$C$7="K"),(C115-D115)*$E$3/Formeln!$L$20,C115*$E$3/Formeln!$L$20)))</f>
        <v>xxx</v>
      </c>
      <c r="F115" s="139">
        <f>IF(Eingabe!$C$7="K",C115-D115+E115,SUM(C115:E115))</f>
        <v>0</v>
      </c>
    </row>
    <row r="116" spans="2:6" x14ac:dyDescent="0.25">
      <c r="B116" s="138" t="str">
        <f>IF(AND(Formeln!$I$11=2,B115&lt;$E$4/Formeln!$M$20),B115+1,IF(AND(Formeln!$I$11=1,B115&lt;$E$4*Formeln!$M$20),B115+1,"xxx"))</f>
        <v>xxx</v>
      </c>
      <c r="C116" s="139" t="str">
        <f t="shared" si="2"/>
        <v>xxx</v>
      </c>
      <c r="D116" s="139" t="str">
        <f t="shared" si="3"/>
        <v>xxx</v>
      </c>
      <c r="E116" s="139" t="str">
        <f>IF(D116="xxx","xxx",IF(AND($E$8=1,Eingabe!$C$7="S"),(C116+D116)*$E$3/Formeln!$L$20,IF(AND($E$8=1,Eingabe!$C$7="K"),(C116-D116)*$E$3/Formeln!$L$20,C116*$E$3/Formeln!$L$20)))</f>
        <v>xxx</v>
      </c>
      <c r="F116" s="139">
        <f>IF(Eingabe!$C$7="K",C116-D116+E116,SUM(C116:E116))</f>
        <v>0</v>
      </c>
    </row>
    <row r="117" spans="2:6" x14ac:dyDescent="0.25">
      <c r="B117" s="138" t="str">
        <f>IF(AND(Formeln!$I$11=2,B116&lt;$E$4/Formeln!$M$20),B116+1,IF(AND(Formeln!$I$11=1,B116&lt;$E$4*Formeln!$M$20),B116+1,"xxx"))</f>
        <v>xxx</v>
      </c>
      <c r="C117" s="139" t="str">
        <f t="shared" si="2"/>
        <v>xxx</v>
      </c>
      <c r="D117" s="139" t="str">
        <f t="shared" si="3"/>
        <v>xxx</v>
      </c>
      <c r="E117" s="139" t="str">
        <f>IF(D117="xxx","xxx",IF(AND($E$8=1,Eingabe!$C$7="S"),(C117+D117)*$E$3/Formeln!$L$20,IF(AND($E$8=1,Eingabe!$C$7="K"),(C117-D117)*$E$3/Formeln!$L$20,C117*$E$3/Formeln!$L$20)))</f>
        <v>xxx</v>
      </c>
      <c r="F117" s="139">
        <f>IF(Eingabe!$C$7="K",C117-D117+E117,SUM(C117:E117))</f>
        <v>0</v>
      </c>
    </row>
    <row r="118" spans="2:6" x14ac:dyDescent="0.25">
      <c r="B118" s="138" t="str">
        <f>IF(AND(Formeln!$I$11=2,B117&lt;$E$4/Formeln!$M$20),B117+1,IF(AND(Formeln!$I$11=1,B117&lt;$E$4*Formeln!$M$20),B117+1,"xxx"))</f>
        <v>xxx</v>
      </c>
      <c r="C118" s="139" t="str">
        <f t="shared" si="2"/>
        <v>xxx</v>
      </c>
      <c r="D118" s="139" t="str">
        <f t="shared" si="3"/>
        <v>xxx</v>
      </c>
      <c r="E118" s="139" t="str">
        <f>IF(D118="xxx","xxx",IF(AND($E$8=1,Eingabe!$C$7="S"),(C118+D118)*$E$3/Formeln!$L$20,IF(AND($E$8=1,Eingabe!$C$7="K"),(C118-D118)*$E$3/Formeln!$L$20,C118*$E$3/Formeln!$L$20)))</f>
        <v>xxx</v>
      </c>
      <c r="F118" s="139">
        <f>IF(Eingabe!$C$7="K",C118-D118+E118,SUM(C118:E118))</f>
        <v>0</v>
      </c>
    </row>
    <row r="119" spans="2:6" x14ac:dyDescent="0.25">
      <c r="B119" s="138" t="str">
        <f>IF(AND(Formeln!$I$11=2,B118&lt;$E$4/Formeln!$M$20),B118+1,IF(AND(Formeln!$I$11=1,B118&lt;$E$4*Formeln!$M$20),B118+1,"xxx"))</f>
        <v>xxx</v>
      </c>
      <c r="C119" s="139" t="str">
        <f t="shared" si="2"/>
        <v>xxx</v>
      </c>
      <c r="D119" s="139" t="str">
        <f t="shared" si="3"/>
        <v>xxx</v>
      </c>
      <c r="E119" s="139" t="str">
        <f>IF(D119="xxx","xxx",IF(AND($E$8=1,Eingabe!$C$7="S"),(C119+D119)*$E$3/Formeln!$L$20,IF(AND($E$8=1,Eingabe!$C$7="K"),(C119-D119)*$E$3/Formeln!$L$20,C119*$E$3/Formeln!$L$20)))</f>
        <v>xxx</v>
      </c>
      <c r="F119" s="139">
        <f>IF(Eingabe!$C$7="K",C119-D119+E119,SUM(C119:E119))</f>
        <v>0</v>
      </c>
    </row>
    <row r="120" spans="2:6" x14ac:dyDescent="0.25">
      <c r="B120" s="138" t="str">
        <f>IF(AND(Formeln!$I$11=2,B119&lt;$E$4/Formeln!$M$20),B119+1,IF(AND(Formeln!$I$11=1,B119&lt;$E$4*Formeln!$M$20),B119+1,"xxx"))</f>
        <v>xxx</v>
      </c>
      <c r="C120" s="139" t="str">
        <f t="shared" si="2"/>
        <v>xxx</v>
      </c>
      <c r="D120" s="139" t="str">
        <f t="shared" si="3"/>
        <v>xxx</v>
      </c>
      <c r="E120" s="139" t="str">
        <f>IF(D120="xxx","xxx",IF(AND($E$8=1,Eingabe!$C$7="S"),(C120+D120)*$E$3/Formeln!$L$20,IF(AND($E$8=1,Eingabe!$C$7="K"),(C120-D120)*$E$3/Formeln!$L$20,C120*$E$3/Formeln!$L$20)))</f>
        <v>xxx</v>
      </c>
      <c r="F120" s="139">
        <f>IF(Eingabe!$C$7="K",C120-D120+E120,SUM(C120:E120))</f>
        <v>0</v>
      </c>
    </row>
    <row r="121" spans="2:6" x14ac:dyDescent="0.25">
      <c r="B121" s="138" t="str">
        <f>IF(AND(Formeln!$I$11=2,B120&lt;$E$4/Formeln!$M$20),B120+1,IF(AND(Formeln!$I$11=1,B120&lt;$E$4*Formeln!$M$20),B120+1,"xxx"))</f>
        <v>xxx</v>
      </c>
      <c r="C121" s="139" t="str">
        <f t="shared" si="2"/>
        <v>xxx</v>
      </c>
      <c r="D121" s="139" t="str">
        <f t="shared" si="3"/>
        <v>xxx</v>
      </c>
      <c r="E121" s="139" t="str">
        <f>IF(D121="xxx","xxx",IF(AND($E$8=1,Eingabe!$C$7="S"),(C121+D121)*$E$3/Formeln!$L$20,IF(AND($E$8=1,Eingabe!$C$7="K"),(C121-D121)*$E$3/Formeln!$L$20,C121*$E$3/Formeln!$L$20)))</f>
        <v>xxx</v>
      </c>
      <c r="F121" s="139">
        <f>IF(Eingabe!$C$7="K",C121-D121+E121,SUM(C121:E121))</f>
        <v>0</v>
      </c>
    </row>
    <row r="122" spans="2:6" x14ac:dyDescent="0.25">
      <c r="B122" s="138" t="str">
        <f>IF(AND(Formeln!$I$11=2,B121&lt;$E$4/Formeln!$M$20),B121+1,IF(AND(Formeln!$I$11=1,B121&lt;$E$4*Formeln!$M$20),B121+1,"xxx"))</f>
        <v>xxx</v>
      </c>
      <c r="C122" s="139" t="str">
        <f t="shared" si="2"/>
        <v>xxx</v>
      </c>
      <c r="D122" s="139" t="str">
        <f t="shared" si="3"/>
        <v>xxx</v>
      </c>
      <c r="E122" s="139" t="str">
        <f>IF(D122="xxx","xxx",IF(AND($E$8=1,Eingabe!$C$7="S"),(C122+D122)*$E$3/Formeln!$L$20,IF(AND($E$8=1,Eingabe!$C$7="K"),(C122-D122)*$E$3/Formeln!$L$20,C122*$E$3/Formeln!$L$20)))</f>
        <v>xxx</v>
      </c>
      <c r="F122" s="139">
        <f>IF(Eingabe!$C$7="K",C122-D122+E122,SUM(C122:E122))</f>
        <v>0</v>
      </c>
    </row>
    <row r="123" spans="2:6" x14ac:dyDescent="0.25">
      <c r="B123" s="138" t="str">
        <f>IF(AND(Formeln!$I$11=2,B122&lt;$E$4/Formeln!$M$20),B122+1,IF(AND(Formeln!$I$11=1,B122&lt;$E$4*Formeln!$M$20),B122+1,"xxx"))</f>
        <v>xxx</v>
      </c>
      <c r="C123" s="139" t="str">
        <f t="shared" si="2"/>
        <v>xxx</v>
      </c>
      <c r="D123" s="139" t="str">
        <f t="shared" si="3"/>
        <v>xxx</v>
      </c>
      <c r="E123" s="139" t="str">
        <f>IF(D123="xxx","xxx",IF(AND($E$8=1,Eingabe!$C$7="S"),(C123+D123)*$E$3/Formeln!$L$20,IF(AND($E$8=1,Eingabe!$C$7="K"),(C123-D123)*$E$3/Formeln!$L$20,C123*$E$3/Formeln!$L$20)))</f>
        <v>xxx</v>
      </c>
      <c r="F123" s="139">
        <f>IF(Eingabe!$C$7="K",C123-D123+E123,SUM(C123:E123))</f>
        <v>0</v>
      </c>
    </row>
    <row r="124" spans="2:6" x14ac:dyDescent="0.25">
      <c r="B124" s="138" t="str">
        <f>IF(AND(Formeln!$I$11=2,B123&lt;$E$4/Formeln!$M$20),B123+1,IF(AND(Formeln!$I$11=1,B123&lt;$E$4*Formeln!$M$20),B123+1,"xxx"))</f>
        <v>xxx</v>
      </c>
      <c r="C124" s="139" t="str">
        <f t="shared" si="2"/>
        <v>xxx</v>
      </c>
      <c r="D124" s="139" t="str">
        <f t="shared" si="3"/>
        <v>xxx</v>
      </c>
      <c r="E124" s="139" t="str">
        <f>IF(D124="xxx","xxx",IF(AND($E$8=1,Eingabe!$C$7="S"),(C124+D124)*$E$3/Formeln!$L$20,IF(AND($E$8=1,Eingabe!$C$7="K"),(C124-D124)*$E$3/Formeln!$L$20,C124*$E$3/Formeln!$L$20)))</f>
        <v>xxx</v>
      </c>
      <c r="F124" s="139">
        <f>IF(Eingabe!$C$7="K",C124-D124+E124,SUM(C124:E124))</f>
        <v>0</v>
      </c>
    </row>
    <row r="125" spans="2:6" x14ac:dyDescent="0.25">
      <c r="B125" s="138" t="str">
        <f>IF(AND(Formeln!$I$11=2,B124&lt;$E$4/Formeln!$M$20),B124+1,IF(AND(Formeln!$I$11=1,B124&lt;$E$4*Formeln!$M$20),B124+1,"xxx"))</f>
        <v>xxx</v>
      </c>
      <c r="C125" s="139" t="str">
        <f t="shared" si="2"/>
        <v>xxx</v>
      </c>
      <c r="D125" s="139" t="str">
        <f t="shared" si="3"/>
        <v>xxx</v>
      </c>
      <c r="E125" s="139" t="str">
        <f>IF(D125="xxx","xxx",IF(AND($E$8=1,Eingabe!$C$7="S"),(C125+D125)*$E$3/Formeln!$L$20,IF(AND($E$8=1,Eingabe!$C$7="K"),(C125-D125)*$E$3/Formeln!$L$20,C125*$E$3/Formeln!$L$20)))</f>
        <v>xxx</v>
      </c>
      <c r="F125" s="139">
        <f>IF(Eingabe!$C$7="K",C125-D125+E125,SUM(C125:E125))</f>
        <v>0</v>
      </c>
    </row>
    <row r="126" spans="2:6" x14ac:dyDescent="0.25">
      <c r="B126" s="138" t="str">
        <f>IF(AND(Formeln!$I$11=2,B125&lt;$E$4/Formeln!$M$20),B125+1,IF(AND(Formeln!$I$11=1,B125&lt;$E$4*Formeln!$M$20),B125+1,"xxx"))</f>
        <v>xxx</v>
      </c>
      <c r="C126" s="139" t="str">
        <f t="shared" si="2"/>
        <v>xxx</v>
      </c>
      <c r="D126" s="139" t="str">
        <f t="shared" si="3"/>
        <v>xxx</v>
      </c>
      <c r="E126" s="139" t="str">
        <f>IF(D126="xxx","xxx",IF(AND($E$8=1,Eingabe!$C$7="S"),(C126+D126)*$E$3/Formeln!$L$20,IF(AND($E$8=1,Eingabe!$C$7="K"),(C126-D126)*$E$3/Formeln!$L$20,C126*$E$3/Formeln!$L$20)))</f>
        <v>xxx</v>
      </c>
      <c r="F126" s="139">
        <f>IF(Eingabe!$C$7="K",C126-D126+E126,SUM(C126:E126))</f>
        <v>0</v>
      </c>
    </row>
    <row r="127" spans="2:6" x14ac:dyDescent="0.25">
      <c r="B127" s="138" t="str">
        <f>IF(AND(Formeln!$I$11=2,B126&lt;$E$4/Formeln!$M$20),B126+1,IF(AND(Formeln!$I$11=1,B126&lt;$E$4*Formeln!$M$20),B126+1,"xxx"))</f>
        <v>xxx</v>
      </c>
      <c r="C127" s="139" t="str">
        <f t="shared" si="2"/>
        <v>xxx</v>
      </c>
      <c r="D127" s="139" t="str">
        <f t="shared" si="3"/>
        <v>xxx</v>
      </c>
      <c r="E127" s="139" t="str">
        <f>IF(D127="xxx","xxx",IF(AND($E$8=1,Eingabe!$C$7="S"),(C127+D127)*$E$3/Formeln!$L$20,IF(AND($E$8=1,Eingabe!$C$7="K"),(C127-D127)*$E$3/Formeln!$L$20,C127*$E$3/Formeln!$L$20)))</f>
        <v>xxx</v>
      </c>
      <c r="F127" s="139">
        <f>IF(Eingabe!$C$7="K",C127-D127+E127,SUM(C127:E127))</f>
        <v>0</v>
      </c>
    </row>
    <row r="128" spans="2:6" x14ac:dyDescent="0.25">
      <c r="B128" s="138" t="str">
        <f>IF(AND(Formeln!$I$11=2,B127&lt;$E$4/Formeln!$M$20),B127+1,IF(AND(Formeln!$I$11=1,B127&lt;$E$4*Formeln!$M$20),B127+1,"xxx"))</f>
        <v>xxx</v>
      </c>
      <c r="C128" s="139" t="str">
        <f t="shared" si="2"/>
        <v>xxx</v>
      </c>
      <c r="D128" s="139" t="str">
        <f t="shared" si="3"/>
        <v>xxx</v>
      </c>
      <c r="E128" s="139" t="str">
        <f>IF(D128="xxx","xxx",IF(AND($E$8=1,Eingabe!$C$7="S"),(C128+D128)*$E$3/Formeln!$L$20,IF(AND($E$8=1,Eingabe!$C$7="K"),(C128-D128)*$E$3/Formeln!$L$20,C128*$E$3/Formeln!$L$20)))</f>
        <v>xxx</v>
      </c>
      <c r="F128" s="139">
        <f>IF(Eingabe!$C$7="K",C128-D128+E128,SUM(C128:E128))</f>
        <v>0</v>
      </c>
    </row>
    <row r="129" spans="2:6" x14ac:dyDescent="0.25">
      <c r="B129" s="138" t="str">
        <f>IF(AND(Formeln!$I$11=2,B128&lt;$E$4/Formeln!$M$20),B128+1,IF(AND(Formeln!$I$11=1,B128&lt;$E$4*Formeln!$M$20),B128+1,"xxx"))</f>
        <v>xxx</v>
      </c>
      <c r="C129" s="139" t="str">
        <f t="shared" si="2"/>
        <v>xxx</v>
      </c>
      <c r="D129" s="139" t="str">
        <f t="shared" si="3"/>
        <v>xxx</v>
      </c>
      <c r="E129" s="139" t="str">
        <f>IF(D129="xxx","xxx",IF(AND($E$8=1,Eingabe!$C$7="S"),(C129+D129)*$E$3/Formeln!$L$20,IF(AND($E$8=1,Eingabe!$C$7="K"),(C129-D129)*$E$3/Formeln!$L$20,C129*$E$3/Formeln!$L$20)))</f>
        <v>xxx</v>
      </c>
      <c r="F129" s="139">
        <f>IF(Eingabe!$C$7="K",C129-D129+E129,SUM(C129:E129))</f>
        <v>0</v>
      </c>
    </row>
    <row r="130" spans="2:6" x14ac:dyDescent="0.25">
      <c r="B130" s="138" t="str">
        <f>IF(AND(Formeln!$I$11=2,B129&lt;$E$4/Formeln!$M$20),B129+1,IF(AND(Formeln!$I$11=1,B129&lt;$E$4*Formeln!$M$20),B129+1,"xxx"))</f>
        <v>xxx</v>
      </c>
      <c r="C130" s="139" t="str">
        <f t="shared" si="2"/>
        <v>xxx</v>
      </c>
      <c r="D130" s="139" t="str">
        <f t="shared" si="3"/>
        <v>xxx</v>
      </c>
      <c r="E130" s="139" t="str">
        <f>IF(D130="xxx","xxx",IF(AND($E$8=1,Eingabe!$C$7="S"),(C130+D130)*$E$3/Formeln!$L$20,IF(AND($E$8=1,Eingabe!$C$7="K"),(C130-D130)*$E$3/Formeln!$L$20,C130*$E$3/Formeln!$L$20)))</f>
        <v>xxx</v>
      </c>
      <c r="F130" s="139">
        <f>IF(Eingabe!$C$7="K",C130-D130+E130,SUM(C130:E130))</f>
        <v>0</v>
      </c>
    </row>
    <row r="131" spans="2:6" x14ac:dyDescent="0.25">
      <c r="B131" s="138" t="str">
        <f>IF(AND(Formeln!$I$11=2,B130&lt;$E$4/Formeln!$M$20),B130+1,IF(AND(Formeln!$I$11=1,B130&lt;$E$4*Formeln!$M$20),B130+1,"xxx"))</f>
        <v>xxx</v>
      </c>
      <c r="C131" s="139" t="str">
        <f t="shared" si="2"/>
        <v>xxx</v>
      </c>
      <c r="D131" s="139" t="str">
        <f t="shared" si="3"/>
        <v>xxx</v>
      </c>
      <c r="E131" s="139" t="str">
        <f>IF(D131="xxx","xxx",IF(AND($E$8=1,Eingabe!$C$7="S"),(C131+D131)*$E$3/Formeln!$L$20,IF(AND($E$8=1,Eingabe!$C$7="K"),(C131-D131)*$E$3/Formeln!$L$20,C131*$E$3/Formeln!$L$20)))</f>
        <v>xxx</v>
      </c>
      <c r="F131" s="139">
        <f>IF(Eingabe!$C$7="K",C131-D131+E131,SUM(C131:E131))</f>
        <v>0</v>
      </c>
    </row>
    <row r="132" spans="2:6" x14ac:dyDescent="0.25">
      <c r="B132" s="138" t="str">
        <f>IF(AND(Formeln!$I$11=2,B131&lt;$E$4/Formeln!$M$20),B131+1,IF(AND(Formeln!$I$11=1,B131&lt;$E$4*Formeln!$M$20),B131+1,"xxx"))</f>
        <v>xxx</v>
      </c>
      <c r="C132" s="139" t="str">
        <f t="shared" si="2"/>
        <v>xxx</v>
      </c>
      <c r="D132" s="139" t="str">
        <f t="shared" si="3"/>
        <v>xxx</v>
      </c>
      <c r="E132" s="139" t="str">
        <f>IF(D132="xxx","xxx",IF(AND($E$8=1,Eingabe!$C$7="S"),(C132+D132)*$E$3/Formeln!$L$20,IF(AND($E$8=1,Eingabe!$C$7="K"),(C132-D132)*$E$3/Formeln!$L$20,C132*$E$3/Formeln!$L$20)))</f>
        <v>xxx</v>
      </c>
      <c r="F132" s="139">
        <f>IF(Eingabe!$C$7="K",C132-D132+E132,SUM(C132:E132))</f>
        <v>0</v>
      </c>
    </row>
    <row r="133" spans="2:6" x14ac:dyDescent="0.25">
      <c r="B133" s="138" t="str">
        <f>IF(AND(Formeln!$I$11=2,B132&lt;$E$4/Formeln!$M$20),B132+1,IF(AND(Formeln!$I$11=1,B132&lt;$E$4*Formeln!$M$20),B132+1,"xxx"))</f>
        <v>xxx</v>
      </c>
      <c r="C133" s="139" t="str">
        <f t="shared" si="2"/>
        <v>xxx</v>
      </c>
      <c r="D133" s="139" t="str">
        <f t="shared" si="3"/>
        <v>xxx</v>
      </c>
      <c r="E133" s="139" t="str">
        <f>IF(D133="xxx","xxx",IF(AND($E$8=1,Eingabe!$C$7="S"),(C133+D133)*$E$3/Formeln!$L$20,IF(AND($E$8=1,Eingabe!$C$7="K"),(C133-D133)*$E$3/Formeln!$L$20,C133*$E$3/Formeln!$L$20)))</f>
        <v>xxx</v>
      </c>
      <c r="F133" s="139">
        <f>IF(Eingabe!$C$7="K",C133-D133+E133,SUM(C133:E133))</f>
        <v>0</v>
      </c>
    </row>
    <row r="134" spans="2:6" x14ac:dyDescent="0.25">
      <c r="B134" s="138" t="str">
        <f>IF(AND(Formeln!$I$11=2,B133&lt;$E$4/Formeln!$M$20),B133+1,IF(AND(Formeln!$I$11=1,B133&lt;$E$4*Formeln!$M$20),B133+1,"xxx"))</f>
        <v>xxx</v>
      </c>
      <c r="C134" s="139" t="str">
        <f t="shared" si="2"/>
        <v>xxx</v>
      </c>
      <c r="D134" s="139" t="str">
        <f t="shared" si="3"/>
        <v>xxx</v>
      </c>
      <c r="E134" s="139" t="str">
        <f>IF(D134="xxx","xxx",IF(AND($E$8=1,Eingabe!$C$7="S"),(C134+D134)*$E$3/Formeln!$L$20,IF(AND($E$8=1,Eingabe!$C$7="K"),(C134-D134)*$E$3/Formeln!$L$20,C134*$E$3/Formeln!$L$20)))</f>
        <v>xxx</v>
      </c>
      <c r="F134" s="139">
        <f>IF(Eingabe!$C$7="K",C134-D134+E134,SUM(C134:E134))</f>
        <v>0</v>
      </c>
    </row>
    <row r="135" spans="2:6" x14ac:dyDescent="0.25">
      <c r="B135" s="138" t="str">
        <f>IF(AND(Formeln!$I$11=2,B134&lt;$E$4/Formeln!$M$20),B134+1,IF(AND(Formeln!$I$11=1,B134&lt;$E$4*Formeln!$M$20),B134+1,"xxx"))</f>
        <v>xxx</v>
      </c>
      <c r="C135" s="139" t="str">
        <f t="shared" si="2"/>
        <v>xxx</v>
      </c>
      <c r="D135" s="139" t="str">
        <f t="shared" si="3"/>
        <v>xxx</v>
      </c>
      <c r="E135" s="139" t="str">
        <f>IF(D135="xxx","xxx",IF(AND($E$8=1,Eingabe!$C$7="S"),(C135+D135)*$E$3/Formeln!$L$20,IF(AND($E$8=1,Eingabe!$C$7="K"),(C135-D135)*$E$3/Formeln!$L$20,C135*$E$3/Formeln!$L$20)))</f>
        <v>xxx</v>
      </c>
      <c r="F135" s="139">
        <f>IF(Eingabe!$C$7="K",C135-D135+E135,SUM(C135:E135))</f>
        <v>0</v>
      </c>
    </row>
    <row r="136" spans="2:6" x14ac:dyDescent="0.25">
      <c r="B136" s="138" t="str">
        <f>IF(AND(Formeln!$I$11=2,B135&lt;$E$4/Formeln!$M$20),B135+1,IF(AND(Formeln!$I$11=1,B135&lt;$E$4*Formeln!$M$20),B135+1,"xxx"))</f>
        <v>xxx</v>
      </c>
      <c r="C136" s="139" t="str">
        <f t="shared" si="2"/>
        <v>xxx</v>
      </c>
      <c r="D136" s="139" t="str">
        <f t="shared" si="3"/>
        <v>xxx</v>
      </c>
      <c r="E136" s="139" t="str">
        <f>IF(D136="xxx","xxx",IF(AND($E$8=1,Eingabe!$C$7="S"),(C136+D136)*$E$3/Formeln!$L$20,IF(AND($E$8=1,Eingabe!$C$7="K"),(C136-D136)*$E$3/Formeln!$L$20,C136*$E$3/Formeln!$L$20)))</f>
        <v>xxx</v>
      </c>
      <c r="F136" s="139">
        <f>IF(Eingabe!$C$7="K",C136-D136+E136,SUM(C136:E136))</f>
        <v>0</v>
      </c>
    </row>
    <row r="137" spans="2:6" x14ac:dyDescent="0.25">
      <c r="B137" s="138" t="str">
        <f>IF(AND(Formeln!$I$11=2,B136&lt;$E$4/Formeln!$M$20),B136+1,IF(AND(Formeln!$I$11=1,B136&lt;$E$4*Formeln!$M$20),B136+1,"xxx"))</f>
        <v>xxx</v>
      </c>
      <c r="C137" s="139" t="str">
        <f t="shared" si="2"/>
        <v>xxx</v>
      </c>
      <c r="D137" s="139" t="str">
        <f t="shared" si="3"/>
        <v>xxx</v>
      </c>
      <c r="E137" s="139" t="str">
        <f>IF(D137="xxx","xxx",IF(AND($E$8=1,Eingabe!$C$7="S"),(C137+D137)*$E$3/Formeln!$L$20,IF(AND($E$8=1,Eingabe!$C$7="K"),(C137-D137)*$E$3/Formeln!$L$20,C137*$E$3/Formeln!$L$20)))</f>
        <v>xxx</v>
      </c>
      <c r="F137" s="139">
        <f>IF(Eingabe!$C$7="K",C137-D137+E137,SUM(C137:E137))</f>
        <v>0</v>
      </c>
    </row>
    <row r="138" spans="2:6" x14ac:dyDescent="0.25">
      <c r="B138" s="138" t="str">
        <f>IF(AND(Formeln!$I$11=2,B137&lt;$E$4/Formeln!$M$20),B137+1,IF(AND(Formeln!$I$11=1,B137&lt;$E$4*Formeln!$M$20),B137+1,"xxx"))</f>
        <v>xxx</v>
      </c>
      <c r="C138" s="139" t="str">
        <f t="shared" si="2"/>
        <v>xxx</v>
      </c>
      <c r="D138" s="139" t="str">
        <f t="shared" si="3"/>
        <v>xxx</v>
      </c>
      <c r="E138" s="139" t="str">
        <f>IF(D138="xxx","xxx",IF(AND($E$8=1,Eingabe!$C$7="S"),(C138+D138)*$E$3/Formeln!$L$20,IF(AND($E$8=1,Eingabe!$C$7="K"),(C138-D138)*$E$3/Formeln!$L$20,C138*$E$3/Formeln!$L$20)))</f>
        <v>xxx</v>
      </c>
      <c r="F138" s="139">
        <f>IF(Eingabe!$C$7="K",C138-D138+E138,SUM(C138:E138))</f>
        <v>0</v>
      </c>
    </row>
    <row r="139" spans="2:6" x14ac:dyDescent="0.25">
      <c r="B139" s="138" t="str">
        <f>IF(AND(Formeln!$I$11=2,B138&lt;$E$4/Formeln!$M$20),B138+1,IF(AND(Formeln!$I$11=1,B138&lt;$E$4*Formeln!$M$20),B138+1,"xxx"))</f>
        <v>xxx</v>
      </c>
      <c r="C139" s="139" t="str">
        <f t="shared" si="2"/>
        <v>xxx</v>
      </c>
      <c r="D139" s="139" t="str">
        <f t="shared" si="3"/>
        <v>xxx</v>
      </c>
      <c r="E139" s="139" t="str">
        <f>IF(D139="xxx","xxx",IF(AND($E$8=1,Eingabe!$C$7="S"),(C139+D139)*$E$3/Formeln!$L$20,IF(AND($E$8=1,Eingabe!$C$7="K"),(C139-D139)*$E$3/Formeln!$L$20,C139*$E$3/Formeln!$L$20)))</f>
        <v>xxx</v>
      </c>
      <c r="F139" s="139">
        <f>IF(Eingabe!$C$7="K",C139-D139+E139,SUM(C139:E139))</f>
        <v>0</v>
      </c>
    </row>
    <row r="140" spans="2:6" x14ac:dyDescent="0.25">
      <c r="B140" s="138" t="str">
        <f>IF(AND(Formeln!$I$11=2,B139&lt;$E$4/Formeln!$M$20),B139+1,IF(AND(Formeln!$I$11=1,B139&lt;$E$4*Formeln!$M$20),B139+1,"xxx"))</f>
        <v>xxx</v>
      </c>
      <c r="C140" s="139" t="str">
        <f t="shared" si="2"/>
        <v>xxx</v>
      </c>
      <c r="D140" s="139" t="str">
        <f t="shared" si="3"/>
        <v>xxx</v>
      </c>
      <c r="E140" s="139" t="str">
        <f>IF(D140="xxx","xxx",IF(AND($E$8=1,Eingabe!$C$7="S"),(C140+D140)*$E$3/Formeln!$L$20,IF(AND($E$8=1,Eingabe!$C$7="K"),(C140-D140)*$E$3/Formeln!$L$20,C140*$E$3/Formeln!$L$20)))</f>
        <v>xxx</v>
      </c>
      <c r="F140" s="139">
        <f>IF(Eingabe!$C$7="K",C140-D140+E140,SUM(C140:E140))</f>
        <v>0</v>
      </c>
    </row>
    <row r="141" spans="2:6" x14ac:dyDescent="0.25">
      <c r="B141" s="138" t="str">
        <f>IF(AND(Formeln!$I$11=2,B140&lt;$E$4/Formeln!$M$20),B140+1,IF(AND(Formeln!$I$11=1,B140&lt;$E$4*Formeln!$M$20),B140+1,"xxx"))</f>
        <v>xxx</v>
      </c>
      <c r="C141" s="139" t="str">
        <f t="shared" ref="C141:C204" si="4">IF(B141="xxx","xxx",F140)</f>
        <v>xxx</v>
      </c>
      <c r="D141" s="139" t="str">
        <f t="shared" ref="D141:D204" si="5">IF(C141="xxx","xxx",D140)</f>
        <v>xxx</v>
      </c>
      <c r="E141" s="139" t="str">
        <f>IF(D141="xxx","xxx",IF(AND($E$8=1,Eingabe!$C$7="S"),(C141+D141)*$E$3/Formeln!$L$20,IF(AND($E$8=1,Eingabe!$C$7="K"),(C141-D141)*$E$3/Formeln!$L$20,C141*$E$3/Formeln!$L$20)))</f>
        <v>xxx</v>
      </c>
      <c r="F141" s="139">
        <f>IF(Eingabe!$C$7="K",C141-D141+E141,SUM(C141:E141))</f>
        <v>0</v>
      </c>
    </row>
    <row r="142" spans="2:6" x14ac:dyDescent="0.25">
      <c r="B142" s="138" t="str">
        <f>IF(AND(Formeln!$I$11=2,B141&lt;$E$4/Formeln!$M$20),B141+1,IF(AND(Formeln!$I$11=1,B141&lt;$E$4*Formeln!$M$20),B141+1,"xxx"))</f>
        <v>xxx</v>
      </c>
      <c r="C142" s="139" t="str">
        <f t="shared" si="4"/>
        <v>xxx</v>
      </c>
      <c r="D142" s="139" t="str">
        <f t="shared" si="5"/>
        <v>xxx</v>
      </c>
      <c r="E142" s="139" t="str">
        <f>IF(D142="xxx","xxx",IF(AND($E$8=1,Eingabe!$C$7="S"),(C142+D142)*$E$3/Formeln!$L$20,IF(AND($E$8=1,Eingabe!$C$7="K"),(C142-D142)*$E$3/Formeln!$L$20,C142*$E$3/Formeln!$L$20)))</f>
        <v>xxx</v>
      </c>
      <c r="F142" s="139">
        <f>IF(Eingabe!$C$7="K",C142-D142+E142,SUM(C142:E142))</f>
        <v>0</v>
      </c>
    </row>
    <row r="143" spans="2:6" x14ac:dyDescent="0.25">
      <c r="B143" s="138" t="str">
        <f>IF(AND(Formeln!$I$11=2,B142&lt;$E$4/Formeln!$M$20),B142+1,IF(AND(Formeln!$I$11=1,B142&lt;$E$4*Formeln!$M$20),B142+1,"xxx"))</f>
        <v>xxx</v>
      </c>
      <c r="C143" s="139" t="str">
        <f t="shared" si="4"/>
        <v>xxx</v>
      </c>
      <c r="D143" s="139" t="str">
        <f t="shared" si="5"/>
        <v>xxx</v>
      </c>
      <c r="E143" s="139" t="str">
        <f>IF(D143="xxx","xxx",IF(AND($E$8=1,Eingabe!$C$7="S"),(C143+D143)*$E$3/Formeln!$L$20,IF(AND($E$8=1,Eingabe!$C$7="K"),(C143-D143)*$E$3/Formeln!$L$20,C143*$E$3/Formeln!$L$20)))</f>
        <v>xxx</v>
      </c>
      <c r="F143" s="139">
        <f>IF(Eingabe!$C$7="K",C143-D143+E143,SUM(C143:E143))</f>
        <v>0</v>
      </c>
    </row>
    <row r="144" spans="2:6" x14ac:dyDescent="0.25">
      <c r="B144" s="138" t="str">
        <f>IF(AND(Formeln!$I$11=2,B143&lt;$E$4/Formeln!$M$20),B143+1,IF(AND(Formeln!$I$11=1,B143&lt;$E$4*Formeln!$M$20),B143+1,"xxx"))</f>
        <v>xxx</v>
      </c>
      <c r="C144" s="139" t="str">
        <f t="shared" si="4"/>
        <v>xxx</v>
      </c>
      <c r="D144" s="139" t="str">
        <f t="shared" si="5"/>
        <v>xxx</v>
      </c>
      <c r="E144" s="139" t="str">
        <f>IF(D144="xxx","xxx",IF(AND($E$8=1,Eingabe!$C$7="S"),(C144+D144)*$E$3/Formeln!$L$20,IF(AND($E$8=1,Eingabe!$C$7="K"),(C144-D144)*$E$3/Formeln!$L$20,C144*$E$3/Formeln!$L$20)))</f>
        <v>xxx</v>
      </c>
      <c r="F144" s="139">
        <f>IF(Eingabe!$C$7="K",C144-D144+E144,SUM(C144:E144))</f>
        <v>0</v>
      </c>
    </row>
    <row r="145" spans="2:6" x14ac:dyDescent="0.25">
      <c r="B145" s="138" t="str">
        <f>IF(AND(Formeln!$I$11=2,B144&lt;$E$4/Formeln!$M$20),B144+1,IF(AND(Formeln!$I$11=1,B144&lt;$E$4*Formeln!$M$20),B144+1,"xxx"))</f>
        <v>xxx</v>
      </c>
      <c r="C145" s="139" t="str">
        <f t="shared" si="4"/>
        <v>xxx</v>
      </c>
      <c r="D145" s="139" t="str">
        <f t="shared" si="5"/>
        <v>xxx</v>
      </c>
      <c r="E145" s="139" t="str">
        <f>IF(D145="xxx","xxx",IF(AND($E$8=1,Eingabe!$C$7="S"),(C145+D145)*$E$3/Formeln!$L$20,IF(AND($E$8=1,Eingabe!$C$7="K"),(C145-D145)*$E$3/Formeln!$L$20,C145*$E$3/Formeln!$L$20)))</f>
        <v>xxx</v>
      </c>
      <c r="F145" s="139">
        <f>IF(Eingabe!$C$7="K",C145-D145+E145,SUM(C145:E145))</f>
        <v>0</v>
      </c>
    </row>
    <row r="146" spans="2:6" x14ac:dyDescent="0.25">
      <c r="B146" s="138" t="str">
        <f>IF(AND(Formeln!$I$11=2,B145&lt;$E$4/Formeln!$M$20),B145+1,IF(AND(Formeln!$I$11=1,B145&lt;$E$4*Formeln!$M$20),B145+1,"xxx"))</f>
        <v>xxx</v>
      </c>
      <c r="C146" s="139" t="str">
        <f t="shared" si="4"/>
        <v>xxx</v>
      </c>
      <c r="D146" s="139" t="str">
        <f t="shared" si="5"/>
        <v>xxx</v>
      </c>
      <c r="E146" s="139" t="str">
        <f>IF(D146="xxx","xxx",IF(AND($E$8=1,Eingabe!$C$7="S"),(C146+D146)*$E$3/Formeln!$L$20,IF(AND($E$8=1,Eingabe!$C$7="K"),(C146-D146)*$E$3/Formeln!$L$20,C146*$E$3/Formeln!$L$20)))</f>
        <v>xxx</v>
      </c>
      <c r="F146" s="139">
        <f>IF(Eingabe!$C$7="K",C146-D146+E146,SUM(C146:E146))</f>
        <v>0</v>
      </c>
    </row>
    <row r="147" spans="2:6" x14ac:dyDescent="0.25">
      <c r="B147" s="138" t="str">
        <f>IF(AND(Formeln!$I$11=2,B146&lt;$E$4/Formeln!$M$20),B146+1,IF(AND(Formeln!$I$11=1,B146&lt;$E$4*Formeln!$M$20),B146+1,"xxx"))</f>
        <v>xxx</v>
      </c>
      <c r="C147" s="139" t="str">
        <f t="shared" si="4"/>
        <v>xxx</v>
      </c>
      <c r="D147" s="139" t="str">
        <f t="shared" si="5"/>
        <v>xxx</v>
      </c>
      <c r="E147" s="139" t="str">
        <f>IF(D147="xxx","xxx",IF(AND($E$8=1,Eingabe!$C$7="S"),(C147+D147)*$E$3/Formeln!$L$20,IF(AND($E$8=1,Eingabe!$C$7="K"),(C147-D147)*$E$3/Formeln!$L$20,C147*$E$3/Formeln!$L$20)))</f>
        <v>xxx</v>
      </c>
      <c r="F147" s="139">
        <f>IF(Eingabe!$C$7="K",C147-D147+E147,SUM(C147:E147))</f>
        <v>0</v>
      </c>
    </row>
    <row r="148" spans="2:6" x14ac:dyDescent="0.25">
      <c r="B148" s="138" t="str">
        <f>IF(AND(Formeln!$I$11=2,B147&lt;$E$4/Formeln!$M$20),B147+1,IF(AND(Formeln!$I$11=1,B147&lt;$E$4*Formeln!$M$20),B147+1,"xxx"))</f>
        <v>xxx</v>
      </c>
      <c r="C148" s="139" t="str">
        <f t="shared" si="4"/>
        <v>xxx</v>
      </c>
      <c r="D148" s="139" t="str">
        <f t="shared" si="5"/>
        <v>xxx</v>
      </c>
      <c r="E148" s="139" t="str">
        <f>IF(D148="xxx","xxx",IF(AND($E$8=1,Eingabe!$C$7="S"),(C148+D148)*$E$3/Formeln!$L$20,IF(AND($E$8=1,Eingabe!$C$7="K"),(C148-D148)*$E$3/Formeln!$L$20,C148*$E$3/Formeln!$L$20)))</f>
        <v>xxx</v>
      </c>
      <c r="F148" s="139">
        <f>IF(Eingabe!$C$7="K",C148-D148+E148,SUM(C148:E148))</f>
        <v>0</v>
      </c>
    </row>
    <row r="149" spans="2:6" x14ac:dyDescent="0.25">
      <c r="B149" s="138" t="str">
        <f>IF(AND(Formeln!$I$11=2,B148&lt;$E$4/Formeln!$M$20),B148+1,IF(AND(Formeln!$I$11=1,B148&lt;$E$4*Formeln!$M$20),B148+1,"xxx"))</f>
        <v>xxx</v>
      </c>
      <c r="C149" s="139" t="str">
        <f t="shared" si="4"/>
        <v>xxx</v>
      </c>
      <c r="D149" s="139" t="str">
        <f t="shared" si="5"/>
        <v>xxx</v>
      </c>
      <c r="E149" s="139" t="str">
        <f>IF(D149="xxx","xxx",IF(AND($E$8=1,Eingabe!$C$7="S"),(C149+D149)*$E$3/Formeln!$L$20,IF(AND($E$8=1,Eingabe!$C$7="K"),(C149-D149)*$E$3/Formeln!$L$20,C149*$E$3/Formeln!$L$20)))</f>
        <v>xxx</v>
      </c>
      <c r="F149" s="139">
        <f>IF(Eingabe!$C$7="K",C149-D149+E149,SUM(C149:E149))</f>
        <v>0</v>
      </c>
    </row>
    <row r="150" spans="2:6" x14ac:dyDescent="0.25">
      <c r="B150" s="138" t="str">
        <f>IF(AND(Formeln!$I$11=2,B149&lt;$E$4/Formeln!$M$20),B149+1,IF(AND(Formeln!$I$11=1,B149&lt;$E$4*Formeln!$M$20),B149+1,"xxx"))</f>
        <v>xxx</v>
      </c>
      <c r="C150" s="139" t="str">
        <f t="shared" si="4"/>
        <v>xxx</v>
      </c>
      <c r="D150" s="139" t="str">
        <f t="shared" si="5"/>
        <v>xxx</v>
      </c>
      <c r="E150" s="139" t="str">
        <f>IF(D150="xxx","xxx",IF(AND($E$8=1,Eingabe!$C$7="S"),(C150+D150)*$E$3/Formeln!$L$20,IF(AND($E$8=1,Eingabe!$C$7="K"),(C150-D150)*$E$3/Formeln!$L$20,C150*$E$3/Formeln!$L$20)))</f>
        <v>xxx</v>
      </c>
      <c r="F150" s="139">
        <f>IF(Eingabe!$C$7="K",C150-D150+E150,SUM(C150:E150))</f>
        <v>0</v>
      </c>
    </row>
    <row r="151" spans="2:6" x14ac:dyDescent="0.25">
      <c r="B151" s="138" t="str">
        <f>IF(AND(Formeln!$I$11=2,B150&lt;$E$4/Formeln!$M$20),B150+1,IF(AND(Formeln!$I$11=1,B150&lt;$E$4*Formeln!$M$20),B150+1,"xxx"))</f>
        <v>xxx</v>
      </c>
      <c r="C151" s="139" t="str">
        <f t="shared" si="4"/>
        <v>xxx</v>
      </c>
      <c r="D151" s="139" t="str">
        <f t="shared" si="5"/>
        <v>xxx</v>
      </c>
      <c r="E151" s="139" t="str">
        <f>IF(D151="xxx","xxx",IF(AND($E$8=1,Eingabe!$C$7="S"),(C151+D151)*$E$3/Formeln!$L$20,IF(AND($E$8=1,Eingabe!$C$7="K"),(C151-D151)*$E$3/Formeln!$L$20,C151*$E$3/Formeln!$L$20)))</f>
        <v>xxx</v>
      </c>
      <c r="F151" s="139">
        <f>IF(Eingabe!$C$7="K",C151-D151+E151,SUM(C151:E151))</f>
        <v>0</v>
      </c>
    </row>
    <row r="152" spans="2:6" x14ac:dyDescent="0.25">
      <c r="B152" s="138" t="str">
        <f>IF(AND(Formeln!$I$11=2,B151&lt;$E$4/Formeln!$M$20),B151+1,IF(AND(Formeln!$I$11=1,B151&lt;$E$4*Formeln!$M$20),B151+1,"xxx"))</f>
        <v>xxx</v>
      </c>
      <c r="C152" s="139" t="str">
        <f t="shared" si="4"/>
        <v>xxx</v>
      </c>
      <c r="D152" s="139" t="str">
        <f t="shared" si="5"/>
        <v>xxx</v>
      </c>
      <c r="E152" s="139" t="str">
        <f>IF(D152="xxx","xxx",IF(AND($E$8=1,Eingabe!$C$7="S"),(C152+D152)*$E$3/Formeln!$L$20,IF(AND($E$8=1,Eingabe!$C$7="K"),(C152-D152)*$E$3/Formeln!$L$20,C152*$E$3/Formeln!$L$20)))</f>
        <v>xxx</v>
      </c>
      <c r="F152" s="139">
        <f>IF(Eingabe!$C$7="K",C152-D152+E152,SUM(C152:E152))</f>
        <v>0</v>
      </c>
    </row>
    <row r="153" spans="2:6" x14ac:dyDescent="0.25">
      <c r="B153" s="138" t="str">
        <f>IF(AND(Formeln!$I$11=2,B152&lt;$E$4/Formeln!$M$20),B152+1,IF(AND(Formeln!$I$11=1,B152&lt;$E$4*Formeln!$M$20),B152+1,"xxx"))</f>
        <v>xxx</v>
      </c>
      <c r="C153" s="139" t="str">
        <f t="shared" si="4"/>
        <v>xxx</v>
      </c>
      <c r="D153" s="139" t="str">
        <f t="shared" si="5"/>
        <v>xxx</v>
      </c>
      <c r="E153" s="139" t="str">
        <f>IF(D153="xxx","xxx",IF(AND($E$8=1,Eingabe!$C$7="S"),(C153+D153)*$E$3/Formeln!$L$20,IF(AND($E$8=1,Eingabe!$C$7="K"),(C153-D153)*$E$3/Formeln!$L$20,C153*$E$3/Formeln!$L$20)))</f>
        <v>xxx</v>
      </c>
      <c r="F153" s="139">
        <f>IF(Eingabe!$C$7="K",C153-D153+E153,SUM(C153:E153))</f>
        <v>0</v>
      </c>
    </row>
    <row r="154" spans="2:6" x14ac:dyDescent="0.25">
      <c r="B154" s="138" t="str">
        <f>IF(AND(Formeln!$I$11=2,B153&lt;$E$4/Formeln!$M$20),B153+1,IF(AND(Formeln!$I$11=1,B153&lt;$E$4*Formeln!$M$20),B153+1,"xxx"))</f>
        <v>xxx</v>
      </c>
      <c r="C154" s="139" t="str">
        <f t="shared" si="4"/>
        <v>xxx</v>
      </c>
      <c r="D154" s="139" t="str">
        <f t="shared" si="5"/>
        <v>xxx</v>
      </c>
      <c r="E154" s="139" t="str">
        <f>IF(D154="xxx","xxx",IF(AND($E$8=1,Eingabe!$C$7="S"),(C154+D154)*$E$3/Formeln!$L$20,IF(AND($E$8=1,Eingabe!$C$7="K"),(C154-D154)*$E$3/Formeln!$L$20,C154*$E$3/Formeln!$L$20)))</f>
        <v>xxx</v>
      </c>
      <c r="F154" s="139">
        <f>IF(Eingabe!$C$7="K",C154-D154+E154,SUM(C154:E154))</f>
        <v>0</v>
      </c>
    </row>
    <row r="155" spans="2:6" x14ac:dyDescent="0.25">
      <c r="B155" s="138" t="str">
        <f>IF(AND(Formeln!$I$11=2,B154&lt;$E$4/Formeln!$M$20),B154+1,IF(AND(Formeln!$I$11=1,B154&lt;$E$4*Formeln!$M$20),B154+1,"xxx"))</f>
        <v>xxx</v>
      </c>
      <c r="C155" s="139" t="str">
        <f t="shared" si="4"/>
        <v>xxx</v>
      </c>
      <c r="D155" s="139" t="str">
        <f t="shared" si="5"/>
        <v>xxx</v>
      </c>
      <c r="E155" s="139" t="str">
        <f>IF(D155="xxx","xxx",IF(AND($E$8=1,Eingabe!$C$7="S"),(C155+D155)*$E$3/Formeln!$L$20,IF(AND($E$8=1,Eingabe!$C$7="K"),(C155-D155)*$E$3/Formeln!$L$20,C155*$E$3/Formeln!$L$20)))</f>
        <v>xxx</v>
      </c>
      <c r="F155" s="139">
        <f>IF(Eingabe!$C$7="K",C155-D155+E155,SUM(C155:E155))</f>
        <v>0</v>
      </c>
    </row>
    <row r="156" spans="2:6" x14ac:dyDescent="0.25">
      <c r="B156" s="138" t="str">
        <f>IF(AND(Formeln!$I$11=2,B155&lt;$E$4/Formeln!$M$20),B155+1,IF(AND(Formeln!$I$11=1,B155&lt;$E$4*Formeln!$M$20),B155+1,"xxx"))</f>
        <v>xxx</v>
      </c>
      <c r="C156" s="139" t="str">
        <f t="shared" si="4"/>
        <v>xxx</v>
      </c>
      <c r="D156" s="139" t="str">
        <f t="shared" si="5"/>
        <v>xxx</v>
      </c>
      <c r="E156" s="139" t="str">
        <f>IF(D156="xxx","xxx",IF(AND($E$8=1,Eingabe!$C$7="S"),(C156+D156)*$E$3/Formeln!$L$20,IF(AND($E$8=1,Eingabe!$C$7="K"),(C156-D156)*$E$3/Formeln!$L$20,C156*$E$3/Formeln!$L$20)))</f>
        <v>xxx</v>
      </c>
      <c r="F156" s="139">
        <f>IF(Eingabe!$C$7="K",C156-D156+E156,SUM(C156:E156))</f>
        <v>0</v>
      </c>
    </row>
    <row r="157" spans="2:6" x14ac:dyDescent="0.25">
      <c r="B157" s="138" t="str">
        <f>IF(AND(Formeln!$I$11=2,B156&lt;$E$4/Formeln!$M$20),B156+1,IF(AND(Formeln!$I$11=1,B156&lt;$E$4*Formeln!$M$20),B156+1,"xxx"))</f>
        <v>xxx</v>
      </c>
      <c r="C157" s="139" t="str">
        <f t="shared" si="4"/>
        <v>xxx</v>
      </c>
      <c r="D157" s="139" t="str">
        <f t="shared" si="5"/>
        <v>xxx</v>
      </c>
      <c r="E157" s="139" t="str">
        <f>IF(D157="xxx","xxx",IF(AND($E$8=1,Eingabe!$C$7="S"),(C157+D157)*$E$3/Formeln!$L$20,IF(AND($E$8=1,Eingabe!$C$7="K"),(C157-D157)*$E$3/Formeln!$L$20,C157*$E$3/Formeln!$L$20)))</f>
        <v>xxx</v>
      </c>
      <c r="F157" s="139">
        <f>IF(Eingabe!$C$7="K",C157-D157+E157,SUM(C157:E157))</f>
        <v>0</v>
      </c>
    </row>
    <row r="158" spans="2:6" x14ac:dyDescent="0.25">
      <c r="B158" s="138" t="str">
        <f>IF(AND(Formeln!$I$11=2,B157&lt;$E$4/Formeln!$M$20),B157+1,IF(AND(Formeln!$I$11=1,B157&lt;$E$4*Formeln!$M$20),B157+1,"xxx"))</f>
        <v>xxx</v>
      </c>
      <c r="C158" s="139" t="str">
        <f t="shared" si="4"/>
        <v>xxx</v>
      </c>
      <c r="D158" s="139" t="str">
        <f t="shared" si="5"/>
        <v>xxx</v>
      </c>
      <c r="E158" s="139" t="str">
        <f>IF(D158="xxx","xxx",IF(AND($E$8=1,Eingabe!$C$7="S"),(C158+D158)*$E$3/Formeln!$L$20,IF(AND($E$8=1,Eingabe!$C$7="K"),(C158-D158)*$E$3/Formeln!$L$20,C158*$E$3/Formeln!$L$20)))</f>
        <v>xxx</v>
      </c>
      <c r="F158" s="139">
        <f>IF(Eingabe!$C$7="K",C158-D158+E158,SUM(C158:E158))</f>
        <v>0</v>
      </c>
    </row>
    <row r="159" spans="2:6" x14ac:dyDescent="0.25">
      <c r="B159" s="138" t="str">
        <f>IF(AND(Formeln!$I$11=2,B158&lt;$E$4/Formeln!$M$20),B158+1,IF(AND(Formeln!$I$11=1,B158&lt;$E$4*Formeln!$M$20),B158+1,"xxx"))</f>
        <v>xxx</v>
      </c>
      <c r="C159" s="139" t="str">
        <f t="shared" si="4"/>
        <v>xxx</v>
      </c>
      <c r="D159" s="139" t="str">
        <f t="shared" si="5"/>
        <v>xxx</v>
      </c>
      <c r="E159" s="139" t="str">
        <f>IF(D159="xxx","xxx",IF(AND($E$8=1,Eingabe!$C$7="S"),(C159+D159)*$E$3/Formeln!$L$20,IF(AND($E$8=1,Eingabe!$C$7="K"),(C159-D159)*$E$3/Formeln!$L$20,C159*$E$3/Formeln!$L$20)))</f>
        <v>xxx</v>
      </c>
      <c r="F159" s="139">
        <f>IF(Eingabe!$C$7="K",C159-D159+E159,SUM(C159:E159))</f>
        <v>0</v>
      </c>
    </row>
    <row r="160" spans="2:6" x14ac:dyDescent="0.25">
      <c r="B160" s="138" t="str">
        <f>IF(AND(Formeln!$I$11=2,B159&lt;$E$4/Formeln!$M$20),B159+1,IF(AND(Formeln!$I$11=1,B159&lt;$E$4*Formeln!$M$20),B159+1,"xxx"))</f>
        <v>xxx</v>
      </c>
      <c r="C160" s="139" t="str">
        <f t="shared" si="4"/>
        <v>xxx</v>
      </c>
      <c r="D160" s="139" t="str">
        <f t="shared" si="5"/>
        <v>xxx</v>
      </c>
      <c r="E160" s="139" t="str">
        <f>IF(D160="xxx","xxx",IF(AND($E$8=1,Eingabe!$C$7="S"),(C160+D160)*$E$3/Formeln!$L$20,IF(AND($E$8=1,Eingabe!$C$7="K"),(C160-D160)*$E$3/Formeln!$L$20,C160*$E$3/Formeln!$L$20)))</f>
        <v>xxx</v>
      </c>
      <c r="F160" s="139">
        <f>IF(Eingabe!$C$7="K",C160-D160+E160,SUM(C160:E160))</f>
        <v>0</v>
      </c>
    </row>
    <row r="161" spans="2:6" x14ac:dyDescent="0.25">
      <c r="B161" s="138" t="str">
        <f>IF(AND(Formeln!$I$11=2,B160&lt;$E$4/Formeln!$M$20),B160+1,IF(AND(Formeln!$I$11=1,B160&lt;$E$4*Formeln!$M$20),B160+1,"xxx"))</f>
        <v>xxx</v>
      </c>
      <c r="C161" s="139" t="str">
        <f t="shared" si="4"/>
        <v>xxx</v>
      </c>
      <c r="D161" s="139" t="str">
        <f t="shared" si="5"/>
        <v>xxx</v>
      </c>
      <c r="E161" s="139" t="str">
        <f>IF(D161="xxx","xxx",IF(AND($E$8=1,Eingabe!$C$7="S"),(C161+D161)*$E$3/Formeln!$L$20,IF(AND($E$8=1,Eingabe!$C$7="K"),(C161-D161)*$E$3/Formeln!$L$20,C161*$E$3/Formeln!$L$20)))</f>
        <v>xxx</v>
      </c>
      <c r="F161" s="139">
        <f>IF(Eingabe!$C$7="K",C161-D161+E161,SUM(C161:E161))</f>
        <v>0</v>
      </c>
    </row>
    <row r="162" spans="2:6" x14ac:dyDescent="0.25">
      <c r="B162" s="138" t="str">
        <f>IF(AND(Formeln!$I$11=2,B161&lt;$E$4/Formeln!$M$20),B161+1,IF(AND(Formeln!$I$11=1,B161&lt;$E$4*Formeln!$M$20),B161+1,"xxx"))</f>
        <v>xxx</v>
      </c>
      <c r="C162" s="139" t="str">
        <f t="shared" si="4"/>
        <v>xxx</v>
      </c>
      <c r="D162" s="139" t="str">
        <f t="shared" si="5"/>
        <v>xxx</v>
      </c>
      <c r="E162" s="139" t="str">
        <f>IF(D162="xxx","xxx",IF(AND($E$8=1,Eingabe!$C$7="S"),(C162+D162)*$E$3/Formeln!$L$20,IF(AND($E$8=1,Eingabe!$C$7="K"),(C162-D162)*$E$3/Formeln!$L$20,C162*$E$3/Formeln!$L$20)))</f>
        <v>xxx</v>
      </c>
      <c r="F162" s="139">
        <f>IF(Eingabe!$C$7="K",C162-D162+E162,SUM(C162:E162))</f>
        <v>0</v>
      </c>
    </row>
    <row r="163" spans="2:6" x14ac:dyDescent="0.25">
      <c r="B163" s="138" t="str">
        <f>IF(AND(Formeln!$I$11=2,B162&lt;$E$4/Formeln!$M$20),B162+1,IF(AND(Formeln!$I$11=1,B162&lt;$E$4*Formeln!$M$20),B162+1,"xxx"))</f>
        <v>xxx</v>
      </c>
      <c r="C163" s="139" t="str">
        <f t="shared" si="4"/>
        <v>xxx</v>
      </c>
      <c r="D163" s="139" t="str">
        <f t="shared" si="5"/>
        <v>xxx</v>
      </c>
      <c r="E163" s="139" t="str">
        <f>IF(D163="xxx","xxx",IF(AND($E$8=1,Eingabe!$C$7="S"),(C163+D163)*$E$3/Formeln!$L$20,IF(AND($E$8=1,Eingabe!$C$7="K"),(C163-D163)*$E$3/Formeln!$L$20,C163*$E$3/Formeln!$L$20)))</f>
        <v>xxx</v>
      </c>
      <c r="F163" s="139">
        <f>IF(Eingabe!$C$7="K",C163-D163+E163,SUM(C163:E163))</f>
        <v>0</v>
      </c>
    </row>
    <row r="164" spans="2:6" x14ac:dyDescent="0.25">
      <c r="B164" s="138" t="str">
        <f>IF(AND(Formeln!$I$11=2,B163&lt;$E$4/Formeln!$M$20),B163+1,IF(AND(Formeln!$I$11=1,B163&lt;$E$4*Formeln!$M$20),B163+1,"xxx"))</f>
        <v>xxx</v>
      </c>
      <c r="C164" s="139" t="str">
        <f t="shared" si="4"/>
        <v>xxx</v>
      </c>
      <c r="D164" s="139" t="str">
        <f t="shared" si="5"/>
        <v>xxx</v>
      </c>
      <c r="E164" s="139" t="str">
        <f>IF(D164="xxx","xxx",IF(AND($E$8=1,Eingabe!$C$7="S"),(C164+D164)*$E$3/Formeln!$L$20,IF(AND($E$8=1,Eingabe!$C$7="K"),(C164-D164)*$E$3/Formeln!$L$20,C164*$E$3/Formeln!$L$20)))</f>
        <v>xxx</v>
      </c>
      <c r="F164" s="139">
        <f>IF(Eingabe!$C$7="K",C164-D164+E164,SUM(C164:E164))</f>
        <v>0</v>
      </c>
    </row>
    <row r="165" spans="2:6" x14ac:dyDescent="0.25">
      <c r="B165" s="138" t="str">
        <f>IF(AND(Formeln!$I$11=2,B164&lt;$E$4/Formeln!$M$20),B164+1,IF(AND(Formeln!$I$11=1,B164&lt;$E$4*Formeln!$M$20),B164+1,"xxx"))</f>
        <v>xxx</v>
      </c>
      <c r="C165" s="139" t="str">
        <f t="shared" si="4"/>
        <v>xxx</v>
      </c>
      <c r="D165" s="139" t="str">
        <f t="shared" si="5"/>
        <v>xxx</v>
      </c>
      <c r="E165" s="139" t="str">
        <f>IF(D165="xxx","xxx",IF(AND($E$8=1,Eingabe!$C$7="S"),(C165+D165)*$E$3/Formeln!$L$20,IF(AND($E$8=1,Eingabe!$C$7="K"),(C165-D165)*$E$3/Formeln!$L$20,C165*$E$3/Formeln!$L$20)))</f>
        <v>xxx</v>
      </c>
      <c r="F165" s="139">
        <f>IF(Eingabe!$C$7="K",C165-D165+E165,SUM(C165:E165))</f>
        <v>0</v>
      </c>
    </row>
    <row r="166" spans="2:6" x14ac:dyDescent="0.25">
      <c r="B166" s="138" t="str">
        <f>IF(AND(Formeln!$I$11=2,B165&lt;$E$4/Formeln!$M$20),B165+1,IF(AND(Formeln!$I$11=1,B165&lt;$E$4*Formeln!$M$20),B165+1,"xxx"))</f>
        <v>xxx</v>
      </c>
      <c r="C166" s="139" t="str">
        <f t="shared" si="4"/>
        <v>xxx</v>
      </c>
      <c r="D166" s="139" t="str">
        <f t="shared" si="5"/>
        <v>xxx</v>
      </c>
      <c r="E166" s="139" t="str">
        <f>IF(D166="xxx","xxx",IF(AND($E$8=1,Eingabe!$C$7="S"),(C166+D166)*$E$3/Formeln!$L$20,IF(AND($E$8=1,Eingabe!$C$7="K"),(C166-D166)*$E$3/Formeln!$L$20,C166*$E$3/Formeln!$L$20)))</f>
        <v>xxx</v>
      </c>
      <c r="F166" s="139">
        <f>IF(Eingabe!$C$7="K",C166-D166+E166,SUM(C166:E166))</f>
        <v>0</v>
      </c>
    </row>
    <row r="167" spans="2:6" x14ac:dyDescent="0.25">
      <c r="B167" s="138" t="str">
        <f>IF(AND(Formeln!$I$11=2,B166&lt;$E$4/Formeln!$M$20),B166+1,IF(AND(Formeln!$I$11=1,B166&lt;$E$4*Formeln!$M$20),B166+1,"xxx"))</f>
        <v>xxx</v>
      </c>
      <c r="C167" s="139" t="str">
        <f t="shared" si="4"/>
        <v>xxx</v>
      </c>
      <c r="D167" s="139" t="str">
        <f t="shared" si="5"/>
        <v>xxx</v>
      </c>
      <c r="E167" s="139" t="str">
        <f>IF(D167="xxx","xxx",IF(AND($E$8=1,Eingabe!$C$7="S"),(C167+D167)*$E$3/Formeln!$L$20,IF(AND($E$8=1,Eingabe!$C$7="K"),(C167-D167)*$E$3/Formeln!$L$20,C167*$E$3/Formeln!$L$20)))</f>
        <v>xxx</v>
      </c>
      <c r="F167" s="139">
        <f>IF(Eingabe!$C$7="K",C167-D167+E167,SUM(C167:E167))</f>
        <v>0</v>
      </c>
    </row>
    <row r="168" spans="2:6" x14ac:dyDescent="0.25">
      <c r="B168" s="138" t="str">
        <f>IF(AND(Formeln!$I$11=2,B167&lt;$E$4/Formeln!$M$20),B167+1,IF(AND(Formeln!$I$11=1,B167&lt;$E$4*Formeln!$M$20),B167+1,"xxx"))</f>
        <v>xxx</v>
      </c>
      <c r="C168" s="139" t="str">
        <f t="shared" si="4"/>
        <v>xxx</v>
      </c>
      <c r="D168" s="139" t="str">
        <f t="shared" si="5"/>
        <v>xxx</v>
      </c>
      <c r="E168" s="139" t="str">
        <f>IF(D168="xxx","xxx",IF(AND($E$8=1,Eingabe!$C$7="S"),(C168+D168)*$E$3/Formeln!$L$20,IF(AND($E$8=1,Eingabe!$C$7="K"),(C168-D168)*$E$3/Formeln!$L$20,C168*$E$3/Formeln!$L$20)))</f>
        <v>xxx</v>
      </c>
      <c r="F168" s="139">
        <f>IF(Eingabe!$C$7="K",C168-D168+E168,SUM(C168:E168))</f>
        <v>0</v>
      </c>
    </row>
    <row r="169" spans="2:6" x14ac:dyDescent="0.25">
      <c r="B169" s="138" t="str">
        <f>IF(AND(Formeln!$I$11=2,B168&lt;$E$4/Formeln!$M$20),B168+1,IF(AND(Formeln!$I$11=1,B168&lt;$E$4*Formeln!$M$20),B168+1,"xxx"))</f>
        <v>xxx</v>
      </c>
      <c r="C169" s="139" t="str">
        <f t="shared" si="4"/>
        <v>xxx</v>
      </c>
      <c r="D169" s="139" t="str">
        <f t="shared" si="5"/>
        <v>xxx</v>
      </c>
      <c r="E169" s="139" t="str">
        <f>IF(D169="xxx","xxx",IF(AND($E$8=1,Eingabe!$C$7="S"),(C169+D169)*$E$3/Formeln!$L$20,IF(AND($E$8=1,Eingabe!$C$7="K"),(C169-D169)*$E$3/Formeln!$L$20,C169*$E$3/Formeln!$L$20)))</f>
        <v>xxx</v>
      </c>
      <c r="F169" s="139">
        <f>IF(Eingabe!$C$7="K",C169-D169+E169,SUM(C169:E169))</f>
        <v>0</v>
      </c>
    </row>
    <row r="170" spans="2:6" x14ac:dyDescent="0.25">
      <c r="B170" s="138" t="str">
        <f>IF(AND(Formeln!$I$11=2,B169&lt;$E$4/Formeln!$M$20),B169+1,IF(AND(Formeln!$I$11=1,B169&lt;$E$4*Formeln!$M$20),B169+1,"xxx"))</f>
        <v>xxx</v>
      </c>
      <c r="C170" s="139" t="str">
        <f t="shared" si="4"/>
        <v>xxx</v>
      </c>
      <c r="D170" s="139" t="str">
        <f t="shared" si="5"/>
        <v>xxx</v>
      </c>
      <c r="E170" s="139" t="str">
        <f>IF(D170="xxx","xxx",IF(AND($E$8=1,Eingabe!$C$7="S"),(C170+D170)*$E$3/Formeln!$L$20,IF(AND($E$8=1,Eingabe!$C$7="K"),(C170-D170)*$E$3/Formeln!$L$20,C170*$E$3/Formeln!$L$20)))</f>
        <v>xxx</v>
      </c>
      <c r="F170" s="139">
        <f>IF(Eingabe!$C$7="K",C170-D170+E170,SUM(C170:E170))</f>
        <v>0</v>
      </c>
    </row>
    <row r="171" spans="2:6" x14ac:dyDescent="0.25">
      <c r="B171" s="138" t="str">
        <f>IF(AND(Formeln!$I$11=2,B170&lt;$E$4/Formeln!$M$20),B170+1,IF(AND(Formeln!$I$11=1,B170&lt;$E$4*Formeln!$M$20),B170+1,"xxx"))</f>
        <v>xxx</v>
      </c>
      <c r="C171" s="139" t="str">
        <f t="shared" si="4"/>
        <v>xxx</v>
      </c>
      <c r="D171" s="139" t="str">
        <f t="shared" si="5"/>
        <v>xxx</v>
      </c>
      <c r="E171" s="139" t="str">
        <f>IF(D171="xxx","xxx",IF(AND($E$8=1,Eingabe!$C$7="S"),(C171+D171)*$E$3/Formeln!$L$20,IF(AND($E$8=1,Eingabe!$C$7="K"),(C171-D171)*$E$3/Formeln!$L$20,C171*$E$3/Formeln!$L$20)))</f>
        <v>xxx</v>
      </c>
      <c r="F171" s="139">
        <f>IF(Eingabe!$C$7="K",C171-D171+E171,SUM(C171:E171))</f>
        <v>0</v>
      </c>
    </row>
    <row r="172" spans="2:6" x14ac:dyDescent="0.25">
      <c r="B172" s="138" t="str">
        <f>IF(AND(Formeln!$I$11=2,B171&lt;$E$4/Formeln!$M$20),B171+1,IF(AND(Formeln!$I$11=1,B171&lt;$E$4*Formeln!$M$20),B171+1,"xxx"))</f>
        <v>xxx</v>
      </c>
      <c r="C172" s="139" t="str">
        <f t="shared" si="4"/>
        <v>xxx</v>
      </c>
      <c r="D172" s="139" t="str">
        <f t="shared" si="5"/>
        <v>xxx</v>
      </c>
      <c r="E172" s="139" t="str">
        <f>IF(D172="xxx","xxx",IF(AND($E$8=1,Eingabe!$C$7="S"),(C172+D172)*$E$3/Formeln!$L$20,IF(AND($E$8=1,Eingabe!$C$7="K"),(C172-D172)*$E$3/Formeln!$L$20,C172*$E$3/Formeln!$L$20)))</f>
        <v>xxx</v>
      </c>
      <c r="F172" s="139">
        <f>IF(Eingabe!$C$7="K",C172-D172+E172,SUM(C172:E172))</f>
        <v>0</v>
      </c>
    </row>
    <row r="173" spans="2:6" x14ac:dyDescent="0.25">
      <c r="B173" s="138" t="str">
        <f>IF(AND(Formeln!$I$11=2,B172&lt;$E$4/Formeln!$M$20),B172+1,IF(AND(Formeln!$I$11=1,B172&lt;$E$4*Formeln!$M$20),B172+1,"xxx"))</f>
        <v>xxx</v>
      </c>
      <c r="C173" s="139" t="str">
        <f t="shared" si="4"/>
        <v>xxx</v>
      </c>
      <c r="D173" s="139" t="str">
        <f t="shared" si="5"/>
        <v>xxx</v>
      </c>
      <c r="E173" s="139" t="str">
        <f>IF(D173="xxx","xxx",IF(AND($E$8=1,Eingabe!$C$7="S"),(C173+D173)*$E$3/Formeln!$L$20,IF(AND($E$8=1,Eingabe!$C$7="K"),(C173-D173)*$E$3/Formeln!$L$20,C173*$E$3/Formeln!$L$20)))</f>
        <v>xxx</v>
      </c>
      <c r="F173" s="139">
        <f>IF(Eingabe!$C$7="K",C173-D173+E173,SUM(C173:E173))</f>
        <v>0</v>
      </c>
    </row>
    <row r="174" spans="2:6" x14ac:dyDescent="0.25">
      <c r="B174" s="138" t="str">
        <f>IF(AND(Formeln!$I$11=2,B173&lt;$E$4/Formeln!$M$20),B173+1,IF(AND(Formeln!$I$11=1,B173&lt;$E$4*Formeln!$M$20),B173+1,"xxx"))</f>
        <v>xxx</v>
      </c>
      <c r="C174" s="139" t="str">
        <f t="shared" si="4"/>
        <v>xxx</v>
      </c>
      <c r="D174" s="139" t="str">
        <f t="shared" si="5"/>
        <v>xxx</v>
      </c>
      <c r="E174" s="139" t="str">
        <f>IF(D174="xxx","xxx",IF(AND($E$8=1,Eingabe!$C$7="S"),(C174+D174)*$E$3/Formeln!$L$20,IF(AND($E$8=1,Eingabe!$C$7="K"),(C174-D174)*$E$3/Formeln!$L$20,C174*$E$3/Formeln!$L$20)))</f>
        <v>xxx</v>
      </c>
      <c r="F174" s="139">
        <f>IF(Eingabe!$C$7="K",C174-D174+E174,SUM(C174:E174))</f>
        <v>0</v>
      </c>
    </row>
    <row r="175" spans="2:6" x14ac:dyDescent="0.25">
      <c r="B175" s="138" t="str">
        <f>IF(AND(Formeln!$I$11=2,B174&lt;$E$4/Formeln!$M$20),B174+1,IF(AND(Formeln!$I$11=1,B174&lt;$E$4*Formeln!$M$20),B174+1,"xxx"))</f>
        <v>xxx</v>
      </c>
      <c r="C175" s="139" t="str">
        <f t="shared" si="4"/>
        <v>xxx</v>
      </c>
      <c r="D175" s="139" t="str">
        <f t="shared" si="5"/>
        <v>xxx</v>
      </c>
      <c r="E175" s="139" t="str">
        <f>IF(D175="xxx","xxx",IF(AND($E$8=1,Eingabe!$C$7="S"),(C175+D175)*$E$3/Formeln!$L$20,IF(AND($E$8=1,Eingabe!$C$7="K"),(C175-D175)*$E$3/Formeln!$L$20,C175*$E$3/Formeln!$L$20)))</f>
        <v>xxx</v>
      </c>
      <c r="F175" s="139">
        <f>IF(Eingabe!$C$7="K",C175-D175+E175,SUM(C175:E175))</f>
        <v>0</v>
      </c>
    </row>
    <row r="176" spans="2:6" x14ac:dyDescent="0.25">
      <c r="B176" s="138" t="str">
        <f>IF(AND(Formeln!$I$11=2,B175&lt;$E$4/Formeln!$M$20),B175+1,IF(AND(Formeln!$I$11=1,B175&lt;$E$4*Formeln!$M$20),B175+1,"xxx"))</f>
        <v>xxx</v>
      </c>
      <c r="C176" s="139" t="str">
        <f t="shared" si="4"/>
        <v>xxx</v>
      </c>
      <c r="D176" s="139" t="str">
        <f t="shared" si="5"/>
        <v>xxx</v>
      </c>
      <c r="E176" s="139" t="str">
        <f>IF(D176="xxx","xxx",IF(AND($E$8=1,Eingabe!$C$7="S"),(C176+D176)*$E$3/Formeln!$L$20,IF(AND($E$8=1,Eingabe!$C$7="K"),(C176-D176)*$E$3/Formeln!$L$20,C176*$E$3/Formeln!$L$20)))</f>
        <v>xxx</v>
      </c>
      <c r="F176" s="139">
        <f>IF(Eingabe!$C$7="K",C176-D176+E176,SUM(C176:E176))</f>
        <v>0</v>
      </c>
    </row>
    <row r="177" spans="2:6" x14ac:dyDescent="0.25">
      <c r="B177" s="138" t="str">
        <f>IF(AND(Formeln!$I$11=2,B176&lt;$E$4/Formeln!$M$20),B176+1,IF(AND(Formeln!$I$11=1,B176&lt;$E$4*Formeln!$M$20),B176+1,"xxx"))</f>
        <v>xxx</v>
      </c>
      <c r="C177" s="139" t="str">
        <f t="shared" si="4"/>
        <v>xxx</v>
      </c>
      <c r="D177" s="139" t="str">
        <f t="shared" si="5"/>
        <v>xxx</v>
      </c>
      <c r="E177" s="139" t="str">
        <f>IF(D177="xxx","xxx",IF(AND($E$8=1,Eingabe!$C$7="S"),(C177+D177)*$E$3/Formeln!$L$20,IF(AND($E$8=1,Eingabe!$C$7="K"),(C177-D177)*$E$3/Formeln!$L$20,C177*$E$3/Formeln!$L$20)))</f>
        <v>xxx</v>
      </c>
      <c r="F177" s="139">
        <f>IF(Eingabe!$C$7="K",C177-D177+E177,SUM(C177:E177))</f>
        <v>0</v>
      </c>
    </row>
    <row r="178" spans="2:6" x14ac:dyDescent="0.25">
      <c r="B178" s="138" t="str">
        <f>IF(AND(Formeln!$I$11=2,B177&lt;$E$4/Formeln!$M$20),B177+1,IF(AND(Formeln!$I$11=1,B177&lt;$E$4*Formeln!$M$20),B177+1,"xxx"))</f>
        <v>xxx</v>
      </c>
      <c r="C178" s="139" t="str">
        <f t="shared" si="4"/>
        <v>xxx</v>
      </c>
      <c r="D178" s="139" t="str">
        <f t="shared" si="5"/>
        <v>xxx</v>
      </c>
      <c r="E178" s="139" t="str">
        <f>IF(D178="xxx","xxx",IF(AND($E$8=1,Eingabe!$C$7="S"),(C178+D178)*$E$3/Formeln!$L$20,IF(AND($E$8=1,Eingabe!$C$7="K"),(C178-D178)*$E$3/Formeln!$L$20,C178*$E$3/Formeln!$L$20)))</f>
        <v>xxx</v>
      </c>
      <c r="F178" s="139">
        <f>IF(Eingabe!$C$7="K",C178-D178+E178,SUM(C178:E178))</f>
        <v>0</v>
      </c>
    </row>
    <row r="179" spans="2:6" x14ac:dyDescent="0.25">
      <c r="B179" s="138" t="str">
        <f>IF(AND(Formeln!$I$11=2,B178&lt;$E$4/Formeln!$M$20),B178+1,IF(AND(Formeln!$I$11=1,B178&lt;$E$4*Formeln!$M$20),B178+1,"xxx"))</f>
        <v>xxx</v>
      </c>
      <c r="C179" s="139" t="str">
        <f t="shared" si="4"/>
        <v>xxx</v>
      </c>
      <c r="D179" s="139" t="str">
        <f t="shared" si="5"/>
        <v>xxx</v>
      </c>
      <c r="E179" s="139" t="str">
        <f>IF(D179="xxx","xxx",IF(AND($E$8=1,Eingabe!$C$7="S"),(C179+D179)*$E$3/Formeln!$L$20,IF(AND($E$8=1,Eingabe!$C$7="K"),(C179-D179)*$E$3/Formeln!$L$20,C179*$E$3/Formeln!$L$20)))</f>
        <v>xxx</v>
      </c>
      <c r="F179" s="139">
        <f>IF(Eingabe!$C$7="K",C179-D179+E179,SUM(C179:E179))</f>
        <v>0</v>
      </c>
    </row>
    <row r="180" spans="2:6" x14ac:dyDescent="0.25">
      <c r="B180" s="138" t="str">
        <f>IF(AND(Formeln!$I$11=2,B179&lt;$E$4/Formeln!$M$20),B179+1,IF(AND(Formeln!$I$11=1,B179&lt;$E$4*Formeln!$M$20),B179+1,"xxx"))</f>
        <v>xxx</v>
      </c>
      <c r="C180" s="139" t="str">
        <f t="shared" si="4"/>
        <v>xxx</v>
      </c>
      <c r="D180" s="139" t="str">
        <f t="shared" si="5"/>
        <v>xxx</v>
      </c>
      <c r="E180" s="139" t="str">
        <f>IF(D180="xxx","xxx",IF(AND($E$8=1,Eingabe!$C$7="S"),(C180+D180)*$E$3/Formeln!$L$20,IF(AND($E$8=1,Eingabe!$C$7="K"),(C180-D180)*$E$3/Formeln!$L$20,C180*$E$3/Formeln!$L$20)))</f>
        <v>xxx</v>
      </c>
      <c r="F180" s="139">
        <f>IF(Eingabe!$C$7="K",C180-D180+E180,SUM(C180:E180))</f>
        <v>0</v>
      </c>
    </row>
    <row r="181" spans="2:6" x14ac:dyDescent="0.25">
      <c r="B181" s="138" t="str">
        <f>IF(AND(Formeln!$I$11=2,B180&lt;$E$4/Formeln!$M$20),B180+1,IF(AND(Formeln!$I$11=1,B180&lt;$E$4*Formeln!$M$20),B180+1,"xxx"))</f>
        <v>xxx</v>
      </c>
      <c r="C181" s="139" t="str">
        <f t="shared" si="4"/>
        <v>xxx</v>
      </c>
      <c r="D181" s="139" t="str">
        <f t="shared" si="5"/>
        <v>xxx</v>
      </c>
      <c r="E181" s="139" t="str">
        <f>IF(D181="xxx","xxx",IF(AND($E$8=1,Eingabe!$C$7="S"),(C181+D181)*$E$3/Formeln!$L$20,IF(AND($E$8=1,Eingabe!$C$7="K"),(C181-D181)*$E$3/Formeln!$L$20,C181*$E$3/Formeln!$L$20)))</f>
        <v>xxx</v>
      </c>
      <c r="F181" s="139">
        <f>IF(Eingabe!$C$7="K",C181-D181+E181,SUM(C181:E181))</f>
        <v>0</v>
      </c>
    </row>
    <row r="182" spans="2:6" x14ac:dyDescent="0.25">
      <c r="B182" s="138" t="str">
        <f>IF(AND(Formeln!$I$11=2,B181&lt;$E$4/Formeln!$M$20),B181+1,IF(AND(Formeln!$I$11=1,B181&lt;$E$4*Formeln!$M$20),B181+1,"xxx"))</f>
        <v>xxx</v>
      </c>
      <c r="C182" s="139" t="str">
        <f t="shared" si="4"/>
        <v>xxx</v>
      </c>
      <c r="D182" s="139" t="str">
        <f t="shared" si="5"/>
        <v>xxx</v>
      </c>
      <c r="E182" s="139" t="str">
        <f>IF(D182="xxx","xxx",IF(AND($E$8=1,Eingabe!$C$7="S"),(C182+D182)*$E$3/Formeln!$L$20,IF(AND($E$8=1,Eingabe!$C$7="K"),(C182-D182)*$E$3/Formeln!$L$20,C182*$E$3/Formeln!$L$20)))</f>
        <v>xxx</v>
      </c>
      <c r="F182" s="139">
        <f>IF(Eingabe!$C$7="K",C182-D182+E182,SUM(C182:E182))</f>
        <v>0</v>
      </c>
    </row>
    <row r="183" spans="2:6" x14ac:dyDescent="0.25">
      <c r="B183" s="138" t="str">
        <f>IF(AND(Formeln!$I$11=2,B182&lt;$E$4/Formeln!$M$20),B182+1,IF(AND(Formeln!$I$11=1,B182&lt;$E$4*Formeln!$M$20),B182+1,"xxx"))</f>
        <v>xxx</v>
      </c>
      <c r="C183" s="139" t="str">
        <f t="shared" si="4"/>
        <v>xxx</v>
      </c>
      <c r="D183" s="139" t="str">
        <f t="shared" si="5"/>
        <v>xxx</v>
      </c>
      <c r="E183" s="139" t="str">
        <f>IF(D183="xxx","xxx",IF(AND($E$8=1,Eingabe!$C$7="S"),(C183+D183)*$E$3/Formeln!$L$20,IF(AND($E$8=1,Eingabe!$C$7="K"),(C183-D183)*$E$3/Formeln!$L$20,C183*$E$3/Formeln!$L$20)))</f>
        <v>xxx</v>
      </c>
      <c r="F183" s="139">
        <f>IF(Eingabe!$C$7="K",C183-D183+E183,SUM(C183:E183))</f>
        <v>0</v>
      </c>
    </row>
    <row r="184" spans="2:6" x14ac:dyDescent="0.25">
      <c r="B184" s="138" t="str">
        <f>IF(AND(Formeln!$I$11=2,B183&lt;$E$4/Formeln!$M$20),B183+1,IF(AND(Formeln!$I$11=1,B183&lt;$E$4*Formeln!$M$20),B183+1,"xxx"))</f>
        <v>xxx</v>
      </c>
      <c r="C184" s="139" t="str">
        <f t="shared" si="4"/>
        <v>xxx</v>
      </c>
      <c r="D184" s="139" t="str">
        <f t="shared" si="5"/>
        <v>xxx</v>
      </c>
      <c r="E184" s="139" t="str">
        <f>IF(D184="xxx","xxx",IF(AND($E$8=1,Eingabe!$C$7="S"),(C184+D184)*$E$3/Formeln!$L$20,IF(AND($E$8=1,Eingabe!$C$7="K"),(C184-D184)*$E$3/Formeln!$L$20,C184*$E$3/Formeln!$L$20)))</f>
        <v>xxx</v>
      </c>
      <c r="F184" s="139">
        <f>IF(Eingabe!$C$7="K",C184-D184+E184,SUM(C184:E184))</f>
        <v>0</v>
      </c>
    </row>
    <row r="185" spans="2:6" x14ac:dyDescent="0.25">
      <c r="B185" s="138" t="str">
        <f>IF(AND(Formeln!$I$11=2,B184&lt;$E$4/Formeln!$M$20),B184+1,IF(AND(Formeln!$I$11=1,B184&lt;$E$4*Formeln!$M$20),B184+1,"xxx"))</f>
        <v>xxx</v>
      </c>
      <c r="C185" s="139" t="str">
        <f t="shared" si="4"/>
        <v>xxx</v>
      </c>
      <c r="D185" s="139" t="str">
        <f t="shared" si="5"/>
        <v>xxx</v>
      </c>
      <c r="E185" s="139" t="str">
        <f>IF(D185="xxx","xxx",IF(AND($E$8=1,Eingabe!$C$7="S"),(C185+D185)*$E$3/Formeln!$L$20,IF(AND($E$8=1,Eingabe!$C$7="K"),(C185-D185)*$E$3/Formeln!$L$20,C185*$E$3/Formeln!$L$20)))</f>
        <v>xxx</v>
      </c>
      <c r="F185" s="139">
        <f>IF(Eingabe!$C$7="K",C185-D185+E185,SUM(C185:E185))</f>
        <v>0</v>
      </c>
    </row>
    <row r="186" spans="2:6" x14ac:dyDescent="0.25">
      <c r="B186" s="138" t="str">
        <f>IF(AND(Formeln!$I$11=2,B185&lt;$E$4/Formeln!$M$20),B185+1,IF(AND(Formeln!$I$11=1,B185&lt;$E$4*Formeln!$M$20),B185+1,"xxx"))</f>
        <v>xxx</v>
      </c>
      <c r="C186" s="139" t="str">
        <f t="shared" si="4"/>
        <v>xxx</v>
      </c>
      <c r="D186" s="139" t="str">
        <f t="shared" si="5"/>
        <v>xxx</v>
      </c>
      <c r="E186" s="139" t="str">
        <f>IF(D186="xxx","xxx",IF(AND($E$8=1,Eingabe!$C$7="S"),(C186+D186)*$E$3/Formeln!$L$20,IF(AND($E$8=1,Eingabe!$C$7="K"),(C186-D186)*$E$3/Formeln!$L$20,C186*$E$3/Formeln!$L$20)))</f>
        <v>xxx</v>
      </c>
      <c r="F186" s="139">
        <f>IF(Eingabe!$C$7="K",C186-D186+E186,SUM(C186:E186))</f>
        <v>0</v>
      </c>
    </row>
    <row r="187" spans="2:6" x14ac:dyDescent="0.25">
      <c r="B187" s="138" t="str">
        <f>IF(AND(Formeln!$I$11=2,B186&lt;$E$4/Formeln!$M$20),B186+1,IF(AND(Formeln!$I$11=1,B186&lt;$E$4*Formeln!$M$20),B186+1,"xxx"))</f>
        <v>xxx</v>
      </c>
      <c r="C187" s="139" t="str">
        <f t="shared" si="4"/>
        <v>xxx</v>
      </c>
      <c r="D187" s="139" t="str">
        <f t="shared" si="5"/>
        <v>xxx</v>
      </c>
      <c r="E187" s="139" t="str">
        <f>IF(D187="xxx","xxx",IF(AND($E$8=1,Eingabe!$C$7="S"),(C187+D187)*$E$3/Formeln!$L$20,IF(AND($E$8=1,Eingabe!$C$7="K"),(C187-D187)*$E$3/Formeln!$L$20,C187*$E$3/Formeln!$L$20)))</f>
        <v>xxx</v>
      </c>
      <c r="F187" s="139">
        <f>IF(Eingabe!$C$7="K",C187-D187+E187,SUM(C187:E187))</f>
        <v>0</v>
      </c>
    </row>
    <row r="188" spans="2:6" x14ac:dyDescent="0.25">
      <c r="B188" s="138" t="str">
        <f>IF(AND(Formeln!$I$11=2,B187&lt;$E$4/Formeln!$M$20),B187+1,IF(AND(Formeln!$I$11=1,B187&lt;$E$4*Formeln!$M$20),B187+1,"xxx"))</f>
        <v>xxx</v>
      </c>
      <c r="C188" s="139" t="str">
        <f t="shared" si="4"/>
        <v>xxx</v>
      </c>
      <c r="D188" s="139" t="str">
        <f t="shared" si="5"/>
        <v>xxx</v>
      </c>
      <c r="E188" s="139" t="str">
        <f>IF(D188="xxx","xxx",IF(AND($E$8=1,Eingabe!$C$7="S"),(C188+D188)*$E$3/Formeln!$L$20,IF(AND($E$8=1,Eingabe!$C$7="K"),(C188-D188)*$E$3/Formeln!$L$20,C188*$E$3/Formeln!$L$20)))</f>
        <v>xxx</v>
      </c>
      <c r="F188" s="139">
        <f>IF(Eingabe!$C$7="K",C188-D188+E188,SUM(C188:E188))</f>
        <v>0</v>
      </c>
    </row>
    <row r="189" spans="2:6" x14ac:dyDescent="0.25">
      <c r="B189" s="138" t="str">
        <f>IF(AND(Formeln!$I$11=2,B188&lt;$E$4/Formeln!$M$20),B188+1,IF(AND(Formeln!$I$11=1,B188&lt;$E$4*Formeln!$M$20),B188+1,"xxx"))</f>
        <v>xxx</v>
      </c>
      <c r="C189" s="139" t="str">
        <f t="shared" si="4"/>
        <v>xxx</v>
      </c>
      <c r="D189" s="139" t="str">
        <f t="shared" si="5"/>
        <v>xxx</v>
      </c>
      <c r="E189" s="139" t="str">
        <f>IF(D189="xxx","xxx",IF(AND($E$8=1,Eingabe!$C$7="S"),(C189+D189)*$E$3/Formeln!$L$20,IF(AND($E$8=1,Eingabe!$C$7="K"),(C189-D189)*$E$3/Formeln!$L$20,C189*$E$3/Formeln!$L$20)))</f>
        <v>xxx</v>
      </c>
      <c r="F189" s="139">
        <f>IF(Eingabe!$C$7="K",C189-D189+E189,SUM(C189:E189))</f>
        <v>0</v>
      </c>
    </row>
    <row r="190" spans="2:6" x14ac:dyDescent="0.25">
      <c r="B190" s="138" t="str">
        <f>IF(AND(Formeln!$I$11=2,B189&lt;$E$4/Formeln!$M$20),B189+1,IF(AND(Formeln!$I$11=1,B189&lt;$E$4*Formeln!$M$20),B189+1,"xxx"))</f>
        <v>xxx</v>
      </c>
      <c r="C190" s="139" t="str">
        <f t="shared" si="4"/>
        <v>xxx</v>
      </c>
      <c r="D190" s="139" t="str">
        <f t="shared" si="5"/>
        <v>xxx</v>
      </c>
      <c r="E190" s="139" t="str">
        <f>IF(D190="xxx","xxx",IF(AND($E$8=1,Eingabe!$C$7="S"),(C190+D190)*$E$3/Formeln!$L$20,IF(AND($E$8=1,Eingabe!$C$7="K"),(C190-D190)*$E$3/Formeln!$L$20,C190*$E$3/Formeln!$L$20)))</f>
        <v>xxx</v>
      </c>
      <c r="F190" s="139">
        <f>IF(Eingabe!$C$7="K",C190-D190+E190,SUM(C190:E190))</f>
        <v>0</v>
      </c>
    </row>
    <row r="191" spans="2:6" x14ac:dyDescent="0.25">
      <c r="B191" s="138" t="str">
        <f>IF(AND(Formeln!$I$11=2,B190&lt;$E$4/Formeln!$M$20),B190+1,IF(AND(Formeln!$I$11=1,B190&lt;$E$4*Formeln!$M$20),B190+1,"xxx"))</f>
        <v>xxx</v>
      </c>
      <c r="C191" s="139" t="str">
        <f t="shared" si="4"/>
        <v>xxx</v>
      </c>
      <c r="D191" s="139" t="str">
        <f t="shared" si="5"/>
        <v>xxx</v>
      </c>
      <c r="E191" s="139" t="str">
        <f>IF(D191="xxx","xxx",IF(AND($E$8=1,Eingabe!$C$7="S"),(C191+D191)*$E$3/Formeln!$L$20,IF(AND($E$8=1,Eingabe!$C$7="K"),(C191-D191)*$E$3/Formeln!$L$20,C191*$E$3/Formeln!$L$20)))</f>
        <v>xxx</v>
      </c>
      <c r="F191" s="139">
        <f>IF(Eingabe!$C$7="K",C191-D191+E191,SUM(C191:E191))</f>
        <v>0</v>
      </c>
    </row>
    <row r="192" spans="2:6" x14ac:dyDescent="0.25">
      <c r="B192" s="138" t="str">
        <f>IF(AND(Formeln!$I$11=2,B191&lt;$E$4/Formeln!$M$20),B191+1,IF(AND(Formeln!$I$11=1,B191&lt;$E$4*Formeln!$M$20),B191+1,"xxx"))</f>
        <v>xxx</v>
      </c>
      <c r="C192" s="139" t="str">
        <f t="shared" si="4"/>
        <v>xxx</v>
      </c>
      <c r="D192" s="139" t="str">
        <f t="shared" si="5"/>
        <v>xxx</v>
      </c>
      <c r="E192" s="139" t="str">
        <f>IF(D192="xxx","xxx",IF(AND($E$8=1,Eingabe!$C$7="S"),(C192+D192)*$E$3/Formeln!$L$20,IF(AND($E$8=1,Eingabe!$C$7="K"),(C192-D192)*$E$3/Formeln!$L$20,C192*$E$3/Formeln!$L$20)))</f>
        <v>xxx</v>
      </c>
      <c r="F192" s="139">
        <f>IF(Eingabe!$C$7="K",C192-D192+E192,SUM(C192:E192))</f>
        <v>0</v>
      </c>
    </row>
    <row r="193" spans="2:6" x14ac:dyDescent="0.25">
      <c r="B193" s="138" t="str">
        <f>IF(AND(Formeln!$I$11=2,B192&lt;$E$4/Formeln!$M$20),B192+1,IF(AND(Formeln!$I$11=1,B192&lt;$E$4*Formeln!$M$20),B192+1,"xxx"))</f>
        <v>xxx</v>
      </c>
      <c r="C193" s="139" t="str">
        <f t="shared" si="4"/>
        <v>xxx</v>
      </c>
      <c r="D193" s="139" t="str">
        <f t="shared" si="5"/>
        <v>xxx</v>
      </c>
      <c r="E193" s="139" t="str">
        <f>IF(D193="xxx","xxx",IF(AND($E$8=1,Eingabe!$C$7="S"),(C193+D193)*$E$3/Formeln!$L$20,IF(AND($E$8=1,Eingabe!$C$7="K"),(C193-D193)*$E$3/Formeln!$L$20,C193*$E$3/Formeln!$L$20)))</f>
        <v>xxx</v>
      </c>
      <c r="F193" s="139">
        <f>IF(Eingabe!$C$7="K",C193-D193+E193,SUM(C193:E193))</f>
        <v>0</v>
      </c>
    </row>
    <row r="194" spans="2:6" x14ac:dyDescent="0.25">
      <c r="B194" s="138" t="str">
        <f>IF(AND(Formeln!$I$11=2,B193&lt;$E$4/Formeln!$M$20),B193+1,IF(AND(Formeln!$I$11=1,B193&lt;$E$4*Formeln!$M$20),B193+1,"xxx"))</f>
        <v>xxx</v>
      </c>
      <c r="C194" s="139" t="str">
        <f t="shared" si="4"/>
        <v>xxx</v>
      </c>
      <c r="D194" s="139" t="str">
        <f t="shared" si="5"/>
        <v>xxx</v>
      </c>
      <c r="E194" s="139" t="str">
        <f>IF(D194="xxx","xxx",IF(AND($E$8=1,Eingabe!$C$7="S"),(C194+D194)*$E$3/Formeln!$L$20,IF(AND($E$8=1,Eingabe!$C$7="K"),(C194-D194)*$E$3/Formeln!$L$20,C194*$E$3/Formeln!$L$20)))</f>
        <v>xxx</v>
      </c>
      <c r="F194" s="139">
        <f>IF(Eingabe!$C$7="K",C194-D194+E194,SUM(C194:E194))</f>
        <v>0</v>
      </c>
    </row>
    <row r="195" spans="2:6" x14ac:dyDescent="0.25">
      <c r="B195" s="138" t="str">
        <f>IF(AND(Formeln!$I$11=2,B194&lt;$E$4/Formeln!$M$20),B194+1,IF(AND(Formeln!$I$11=1,B194&lt;$E$4*Formeln!$M$20),B194+1,"xxx"))</f>
        <v>xxx</v>
      </c>
      <c r="C195" s="139" t="str">
        <f t="shared" si="4"/>
        <v>xxx</v>
      </c>
      <c r="D195" s="139" t="str">
        <f t="shared" si="5"/>
        <v>xxx</v>
      </c>
      <c r="E195" s="139" t="str">
        <f>IF(D195="xxx","xxx",IF(AND($E$8=1,Eingabe!$C$7="S"),(C195+D195)*$E$3/Formeln!$L$20,IF(AND($E$8=1,Eingabe!$C$7="K"),(C195-D195)*$E$3/Formeln!$L$20,C195*$E$3/Formeln!$L$20)))</f>
        <v>xxx</v>
      </c>
      <c r="F195" s="139">
        <f>IF(Eingabe!$C$7="K",C195-D195+E195,SUM(C195:E195))</f>
        <v>0</v>
      </c>
    </row>
    <row r="196" spans="2:6" x14ac:dyDescent="0.25">
      <c r="B196" s="138" t="str">
        <f>IF(AND(Formeln!$I$11=2,B195&lt;$E$4/Formeln!$M$20),B195+1,IF(AND(Formeln!$I$11=1,B195&lt;$E$4*Formeln!$M$20),B195+1,"xxx"))</f>
        <v>xxx</v>
      </c>
      <c r="C196" s="139" t="str">
        <f t="shared" si="4"/>
        <v>xxx</v>
      </c>
      <c r="D196" s="139" t="str">
        <f t="shared" si="5"/>
        <v>xxx</v>
      </c>
      <c r="E196" s="139" t="str">
        <f>IF(D196="xxx","xxx",IF(AND($E$8=1,Eingabe!$C$7="S"),(C196+D196)*$E$3/Formeln!$L$20,IF(AND($E$8=1,Eingabe!$C$7="K"),(C196-D196)*$E$3/Formeln!$L$20,C196*$E$3/Formeln!$L$20)))</f>
        <v>xxx</v>
      </c>
      <c r="F196" s="139">
        <f>IF(Eingabe!$C$7="K",C196-D196+E196,SUM(C196:E196))</f>
        <v>0</v>
      </c>
    </row>
    <row r="197" spans="2:6" x14ac:dyDescent="0.25">
      <c r="B197" s="138" t="str">
        <f>IF(AND(Formeln!$I$11=2,B196&lt;$E$4/Formeln!$M$20),B196+1,IF(AND(Formeln!$I$11=1,B196&lt;$E$4*Formeln!$M$20),B196+1,"xxx"))</f>
        <v>xxx</v>
      </c>
      <c r="C197" s="139" t="str">
        <f t="shared" si="4"/>
        <v>xxx</v>
      </c>
      <c r="D197" s="139" t="str">
        <f t="shared" si="5"/>
        <v>xxx</v>
      </c>
      <c r="E197" s="139" t="str">
        <f>IF(D197="xxx","xxx",IF(AND($E$8=1,Eingabe!$C$7="S"),(C197+D197)*$E$3/Formeln!$L$20,IF(AND($E$8=1,Eingabe!$C$7="K"),(C197-D197)*$E$3/Formeln!$L$20,C197*$E$3/Formeln!$L$20)))</f>
        <v>xxx</v>
      </c>
      <c r="F197" s="139">
        <f>IF(Eingabe!$C$7="K",C197-D197+E197,SUM(C197:E197))</f>
        <v>0</v>
      </c>
    </row>
    <row r="198" spans="2:6" x14ac:dyDescent="0.25">
      <c r="B198" s="138" t="str">
        <f>IF(AND(Formeln!$I$11=2,B197&lt;$E$4/Formeln!$M$20),B197+1,IF(AND(Formeln!$I$11=1,B197&lt;$E$4*Formeln!$M$20),B197+1,"xxx"))</f>
        <v>xxx</v>
      </c>
      <c r="C198" s="139" t="str">
        <f t="shared" si="4"/>
        <v>xxx</v>
      </c>
      <c r="D198" s="139" t="str">
        <f t="shared" si="5"/>
        <v>xxx</v>
      </c>
      <c r="E198" s="139" t="str">
        <f>IF(D198="xxx","xxx",IF(AND($E$8=1,Eingabe!$C$7="S"),(C198+D198)*$E$3/Formeln!$L$20,IF(AND($E$8=1,Eingabe!$C$7="K"),(C198-D198)*$E$3/Formeln!$L$20,C198*$E$3/Formeln!$L$20)))</f>
        <v>xxx</v>
      </c>
      <c r="F198" s="139">
        <f>IF(Eingabe!$C$7="K",C198-D198+E198,SUM(C198:E198))</f>
        <v>0</v>
      </c>
    </row>
    <row r="199" spans="2:6" x14ac:dyDescent="0.25">
      <c r="B199" s="138" t="str">
        <f>IF(AND(Formeln!$I$11=2,B198&lt;$E$4/Formeln!$M$20),B198+1,IF(AND(Formeln!$I$11=1,B198&lt;$E$4*Formeln!$M$20),B198+1,"xxx"))</f>
        <v>xxx</v>
      </c>
      <c r="C199" s="139" t="str">
        <f t="shared" si="4"/>
        <v>xxx</v>
      </c>
      <c r="D199" s="139" t="str">
        <f t="shared" si="5"/>
        <v>xxx</v>
      </c>
      <c r="E199" s="139" t="str">
        <f>IF(D199="xxx","xxx",IF(AND($E$8=1,Eingabe!$C$7="S"),(C199+D199)*$E$3/Formeln!$L$20,IF(AND($E$8=1,Eingabe!$C$7="K"),(C199-D199)*$E$3/Formeln!$L$20,C199*$E$3/Formeln!$L$20)))</f>
        <v>xxx</v>
      </c>
      <c r="F199" s="139">
        <f>IF(Eingabe!$C$7="K",C199-D199+E199,SUM(C199:E199))</f>
        <v>0</v>
      </c>
    </row>
    <row r="200" spans="2:6" x14ac:dyDescent="0.25">
      <c r="B200" s="138" t="str">
        <f>IF(AND(Formeln!$I$11=2,B199&lt;$E$4/Formeln!$M$20),B199+1,IF(AND(Formeln!$I$11=1,B199&lt;$E$4*Formeln!$M$20),B199+1,"xxx"))</f>
        <v>xxx</v>
      </c>
      <c r="C200" s="139" t="str">
        <f t="shared" si="4"/>
        <v>xxx</v>
      </c>
      <c r="D200" s="139" t="str">
        <f t="shared" si="5"/>
        <v>xxx</v>
      </c>
      <c r="E200" s="139" t="str">
        <f>IF(D200="xxx","xxx",IF(AND($E$8=1,Eingabe!$C$7="S"),(C200+D200)*$E$3/Formeln!$L$20,IF(AND($E$8=1,Eingabe!$C$7="K"),(C200-D200)*$E$3/Formeln!$L$20,C200*$E$3/Formeln!$L$20)))</f>
        <v>xxx</v>
      </c>
      <c r="F200" s="139">
        <f>IF(Eingabe!$C$7="K",C200-D200+E200,SUM(C200:E200))</f>
        <v>0</v>
      </c>
    </row>
    <row r="201" spans="2:6" x14ac:dyDescent="0.25">
      <c r="B201" s="138" t="str">
        <f>IF(AND(Formeln!$I$11=2,B200&lt;$E$4/Formeln!$M$20),B200+1,IF(AND(Formeln!$I$11=1,B200&lt;$E$4*Formeln!$M$20),B200+1,"xxx"))</f>
        <v>xxx</v>
      </c>
      <c r="C201" s="139" t="str">
        <f t="shared" si="4"/>
        <v>xxx</v>
      </c>
      <c r="D201" s="139" t="str">
        <f t="shared" si="5"/>
        <v>xxx</v>
      </c>
      <c r="E201" s="139" t="str">
        <f>IF(D201="xxx","xxx",IF(AND($E$8=1,Eingabe!$C$7="S"),(C201+D201)*$E$3/Formeln!$L$20,IF(AND($E$8=1,Eingabe!$C$7="K"),(C201-D201)*$E$3/Formeln!$L$20,C201*$E$3/Formeln!$L$20)))</f>
        <v>xxx</v>
      </c>
      <c r="F201" s="139">
        <f>IF(Eingabe!$C$7="K",C201-D201+E201,SUM(C201:E201))</f>
        <v>0</v>
      </c>
    </row>
    <row r="202" spans="2:6" x14ac:dyDescent="0.25">
      <c r="B202" s="138" t="str">
        <f>IF(AND(Formeln!$I$11=2,B201&lt;$E$4/Formeln!$M$20),B201+1,IF(AND(Formeln!$I$11=1,B201&lt;$E$4*Formeln!$M$20),B201+1,"xxx"))</f>
        <v>xxx</v>
      </c>
      <c r="C202" s="139" t="str">
        <f t="shared" si="4"/>
        <v>xxx</v>
      </c>
      <c r="D202" s="139" t="str">
        <f t="shared" si="5"/>
        <v>xxx</v>
      </c>
      <c r="E202" s="139" t="str">
        <f>IF(D202="xxx","xxx",IF(AND($E$8=1,Eingabe!$C$7="S"),(C202+D202)*$E$3/Formeln!$L$20,IF(AND($E$8=1,Eingabe!$C$7="K"),(C202-D202)*$E$3/Formeln!$L$20,C202*$E$3/Formeln!$L$20)))</f>
        <v>xxx</v>
      </c>
      <c r="F202" s="139">
        <f>IF(Eingabe!$C$7="K",C202-D202+E202,SUM(C202:E202))</f>
        <v>0</v>
      </c>
    </row>
    <row r="203" spans="2:6" x14ac:dyDescent="0.25">
      <c r="B203" s="138" t="str">
        <f>IF(AND(Formeln!$I$11=2,B202&lt;$E$4/Formeln!$M$20),B202+1,IF(AND(Formeln!$I$11=1,B202&lt;$E$4*Formeln!$M$20),B202+1,"xxx"))</f>
        <v>xxx</v>
      </c>
      <c r="C203" s="139" t="str">
        <f t="shared" si="4"/>
        <v>xxx</v>
      </c>
      <c r="D203" s="139" t="str">
        <f t="shared" si="5"/>
        <v>xxx</v>
      </c>
      <c r="E203" s="139" t="str">
        <f>IF(D203="xxx","xxx",IF(AND($E$8=1,Eingabe!$C$7="S"),(C203+D203)*$E$3/Formeln!$L$20,IF(AND($E$8=1,Eingabe!$C$7="K"),(C203-D203)*$E$3/Formeln!$L$20,C203*$E$3/Formeln!$L$20)))</f>
        <v>xxx</v>
      </c>
      <c r="F203" s="139">
        <f>IF(Eingabe!$C$7="K",C203-D203+E203,SUM(C203:E203))</f>
        <v>0</v>
      </c>
    </row>
    <row r="204" spans="2:6" x14ac:dyDescent="0.25">
      <c r="B204" s="138" t="str">
        <f>IF(AND(Formeln!$I$11=2,B203&lt;$E$4/Formeln!$M$20),B203+1,IF(AND(Formeln!$I$11=1,B203&lt;$E$4*Formeln!$M$20),B203+1,"xxx"))</f>
        <v>xxx</v>
      </c>
      <c r="C204" s="139" t="str">
        <f t="shared" si="4"/>
        <v>xxx</v>
      </c>
      <c r="D204" s="139" t="str">
        <f t="shared" si="5"/>
        <v>xxx</v>
      </c>
      <c r="E204" s="139" t="str">
        <f>IF(D204="xxx","xxx",IF(AND($E$8=1,Eingabe!$C$7="S"),(C204+D204)*$E$3/Formeln!$L$20,IF(AND($E$8=1,Eingabe!$C$7="K"),(C204-D204)*$E$3/Formeln!$L$20,C204*$E$3/Formeln!$L$20)))</f>
        <v>xxx</v>
      </c>
      <c r="F204" s="139">
        <f>IF(Eingabe!$C$7="K",C204-D204+E204,SUM(C204:E204))</f>
        <v>0</v>
      </c>
    </row>
    <row r="205" spans="2:6" x14ac:dyDescent="0.25">
      <c r="B205" s="138" t="str">
        <f>IF(AND(Formeln!$I$11=2,B204&lt;$E$4/Formeln!$M$20),B204+1,IF(AND(Formeln!$I$11=1,B204&lt;$E$4*Formeln!$M$20),B204+1,"xxx"))</f>
        <v>xxx</v>
      </c>
      <c r="C205" s="139" t="str">
        <f t="shared" ref="C205:C268" si="6">IF(B205="xxx","xxx",F204)</f>
        <v>xxx</v>
      </c>
      <c r="D205" s="139" t="str">
        <f t="shared" ref="D205:D268" si="7">IF(C205="xxx","xxx",D204)</f>
        <v>xxx</v>
      </c>
      <c r="E205" s="139" t="str">
        <f>IF(D205="xxx","xxx",IF(AND($E$8=1,Eingabe!$C$7="S"),(C205+D205)*$E$3/Formeln!$L$20,IF(AND($E$8=1,Eingabe!$C$7="K"),(C205-D205)*$E$3/Formeln!$L$20,C205*$E$3/Formeln!$L$20)))</f>
        <v>xxx</v>
      </c>
      <c r="F205" s="139">
        <f>IF(Eingabe!$C$7="K",C205-D205+E205,SUM(C205:E205))</f>
        <v>0</v>
      </c>
    </row>
    <row r="206" spans="2:6" x14ac:dyDescent="0.25">
      <c r="B206" s="138" t="str">
        <f>IF(AND(Formeln!$I$11=2,B205&lt;$E$4/Formeln!$M$20),B205+1,IF(AND(Formeln!$I$11=1,B205&lt;$E$4*Formeln!$M$20),B205+1,"xxx"))</f>
        <v>xxx</v>
      </c>
      <c r="C206" s="139" t="str">
        <f t="shared" si="6"/>
        <v>xxx</v>
      </c>
      <c r="D206" s="139" t="str">
        <f t="shared" si="7"/>
        <v>xxx</v>
      </c>
      <c r="E206" s="139" t="str">
        <f>IF(D206="xxx","xxx",IF(AND($E$8=1,Eingabe!$C$7="S"),(C206+D206)*$E$3/Formeln!$L$20,IF(AND($E$8=1,Eingabe!$C$7="K"),(C206-D206)*$E$3/Formeln!$L$20,C206*$E$3/Formeln!$L$20)))</f>
        <v>xxx</v>
      </c>
      <c r="F206" s="139">
        <f>IF(Eingabe!$C$7="K",C206-D206+E206,SUM(C206:E206))</f>
        <v>0</v>
      </c>
    </row>
    <row r="207" spans="2:6" x14ac:dyDescent="0.25">
      <c r="B207" s="138" t="str">
        <f>IF(AND(Formeln!$I$11=2,B206&lt;$E$4/Formeln!$M$20),B206+1,IF(AND(Formeln!$I$11=1,B206&lt;$E$4*Formeln!$M$20),B206+1,"xxx"))</f>
        <v>xxx</v>
      </c>
      <c r="C207" s="139" t="str">
        <f t="shared" si="6"/>
        <v>xxx</v>
      </c>
      <c r="D207" s="139" t="str">
        <f t="shared" si="7"/>
        <v>xxx</v>
      </c>
      <c r="E207" s="139" t="str">
        <f>IF(D207="xxx","xxx",IF(AND($E$8=1,Eingabe!$C$7="S"),(C207+D207)*$E$3/Formeln!$L$20,IF(AND($E$8=1,Eingabe!$C$7="K"),(C207-D207)*$E$3/Formeln!$L$20,C207*$E$3/Formeln!$L$20)))</f>
        <v>xxx</v>
      </c>
      <c r="F207" s="139">
        <f>IF(Eingabe!$C$7="K",C207-D207+E207,SUM(C207:E207))</f>
        <v>0</v>
      </c>
    </row>
    <row r="208" spans="2:6" x14ac:dyDescent="0.25">
      <c r="B208" s="138" t="str">
        <f>IF(AND(Formeln!$I$11=2,B207&lt;$E$4/Formeln!$M$20),B207+1,IF(AND(Formeln!$I$11=1,B207&lt;$E$4*Formeln!$M$20),B207+1,"xxx"))</f>
        <v>xxx</v>
      </c>
      <c r="C208" s="139" t="str">
        <f t="shared" si="6"/>
        <v>xxx</v>
      </c>
      <c r="D208" s="139" t="str">
        <f t="shared" si="7"/>
        <v>xxx</v>
      </c>
      <c r="E208" s="139" t="str">
        <f>IF(D208="xxx","xxx",IF(AND($E$8=1,Eingabe!$C$7="S"),(C208+D208)*$E$3/Formeln!$L$20,IF(AND($E$8=1,Eingabe!$C$7="K"),(C208-D208)*$E$3/Formeln!$L$20,C208*$E$3/Formeln!$L$20)))</f>
        <v>xxx</v>
      </c>
      <c r="F208" s="139">
        <f>IF(Eingabe!$C$7="K",C208-D208+E208,SUM(C208:E208))</f>
        <v>0</v>
      </c>
    </row>
    <row r="209" spans="2:6" x14ac:dyDescent="0.25">
      <c r="B209" s="138" t="str">
        <f>IF(AND(Formeln!$I$11=2,B208&lt;$E$4/Formeln!$M$20),B208+1,IF(AND(Formeln!$I$11=1,B208&lt;$E$4*Formeln!$M$20),B208+1,"xxx"))</f>
        <v>xxx</v>
      </c>
      <c r="C209" s="139" t="str">
        <f t="shared" si="6"/>
        <v>xxx</v>
      </c>
      <c r="D209" s="139" t="str">
        <f t="shared" si="7"/>
        <v>xxx</v>
      </c>
      <c r="E209" s="139" t="str">
        <f>IF(D209="xxx","xxx",IF(AND($E$8=1,Eingabe!$C$7="S"),(C209+D209)*$E$3/Formeln!$L$20,IF(AND($E$8=1,Eingabe!$C$7="K"),(C209-D209)*$E$3/Formeln!$L$20,C209*$E$3/Formeln!$L$20)))</f>
        <v>xxx</v>
      </c>
      <c r="F209" s="139">
        <f>IF(Eingabe!$C$7="K",C209-D209+E209,SUM(C209:E209))</f>
        <v>0</v>
      </c>
    </row>
    <row r="210" spans="2:6" x14ac:dyDescent="0.25">
      <c r="B210" s="138" t="str">
        <f>IF(AND(Formeln!$I$11=2,B209&lt;$E$4/Formeln!$M$20),B209+1,IF(AND(Formeln!$I$11=1,B209&lt;$E$4*Formeln!$M$20),B209+1,"xxx"))</f>
        <v>xxx</v>
      </c>
      <c r="C210" s="139" t="str">
        <f t="shared" si="6"/>
        <v>xxx</v>
      </c>
      <c r="D210" s="139" t="str">
        <f t="shared" si="7"/>
        <v>xxx</v>
      </c>
      <c r="E210" s="139" t="str">
        <f>IF(D210="xxx","xxx",IF(AND($E$8=1,Eingabe!$C$7="S"),(C210+D210)*$E$3/Formeln!$L$20,IF(AND($E$8=1,Eingabe!$C$7="K"),(C210-D210)*$E$3/Formeln!$L$20,C210*$E$3/Formeln!$L$20)))</f>
        <v>xxx</v>
      </c>
      <c r="F210" s="139">
        <f>IF(Eingabe!$C$7="K",C210-D210+E210,SUM(C210:E210))</f>
        <v>0</v>
      </c>
    </row>
    <row r="211" spans="2:6" x14ac:dyDescent="0.25">
      <c r="B211" s="138" t="str">
        <f>IF(AND(Formeln!$I$11=2,B210&lt;$E$4/Formeln!$M$20),B210+1,IF(AND(Formeln!$I$11=1,B210&lt;$E$4*Formeln!$M$20),B210+1,"xxx"))</f>
        <v>xxx</v>
      </c>
      <c r="C211" s="139" t="str">
        <f t="shared" si="6"/>
        <v>xxx</v>
      </c>
      <c r="D211" s="139" t="str">
        <f t="shared" si="7"/>
        <v>xxx</v>
      </c>
      <c r="E211" s="139" t="str">
        <f>IF(D211="xxx","xxx",IF(AND($E$8=1,Eingabe!$C$7="S"),(C211+D211)*$E$3/Formeln!$L$20,IF(AND($E$8=1,Eingabe!$C$7="K"),(C211-D211)*$E$3/Formeln!$L$20,C211*$E$3/Formeln!$L$20)))</f>
        <v>xxx</v>
      </c>
      <c r="F211" s="139">
        <f>IF(Eingabe!$C$7="K",C211-D211+E211,SUM(C211:E211))</f>
        <v>0</v>
      </c>
    </row>
    <row r="212" spans="2:6" x14ac:dyDescent="0.25">
      <c r="B212" s="138" t="str">
        <f>IF(AND(Formeln!$I$11=2,B211&lt;$E$4/Formeln!$M$20),B211+1,IF(AND(Formeln!$I$11=1,B211&lt;$E$4*Formeln!$M$20),B211+1,"xxx"))</f>
        <v>xxx</v>
      </c>
      <c r="C212" s="139" t="str">
        <f t="shared" si="6"/>
        <v>xxx</v>
      </c>
      <c r="D212" s="139" t="str">
        <f t="shared" si="7"/>
        <v>xxx</v>
      </c>
      <c r="E212" s="139" t="str">
        <f>IF(D212="xxx","xxx",IF(AND($E$8=1,Eingabe!$C$7="S"),(C212+D212)*$E$3/Formeln!$L$20,IF(AND($E$8=1,Eingabe!$C$7="K"),(C212-D212)*$E$3/Formeln!$L$20,C212*$E$3/Formeln!$L$20)))</f>
        <v>xxx</v>
      </c>
      <c r="F212" s="139">
        <f>IF(Eingabe!$C$7="K",C212-D212+E212,SUM(C212:E212))</f>
        <v>0</v>
      </c>
    </row>
    <row r="213" spans="2:6" x14ac:dyDescent="0.25">
      <c r="B213" s="138" t="str">
        <f>IF(AND(Formeln!$I$11=2,B212&lt;$E$4/Formeln!$M$20),B212+1,IF(AND(Formeln!$I$11=1,B212&lt;$E$4*Formeln!$M$20),B212+1,"xxx"))</f>
        <v>xxx</v>
      </c>
      <c r="C213" s="139" t="str">
        <f t="shared" si="6"/>
        <v>xxx</v>
      </c>
      <c r="D213" s="139" t="str">
        <f t="shared" si="7"/>
        <v>xxx</v>
      </c>
      <c r="E213" s="139" t="str">
        <f>IF(D213="xxx","xxx",IF(AND($E$8=1,Eingabe!$C$7="S"),(C213+D213)*$E$3/Formeln!$L$20,IF(AND($E$8=1,Eingabe!$C$7="K"),(C213-D213)*$E$3/Formeln!$L$20,C213*$E$3/Formeln!$L$20)))</f>
        <v>xxx</v>
      </c>
      <c r="F213" s="139">
        <f>IF(Eingabe!$C$7="K",C213-D213+E213,SUM(C213:E213))</f>
        <v>0</v>
      </c>
    </row>
    <row r="214" spans="2:6" x14ac:dyDescent="0.25">
      <c r="B214" s="138" t="str">
        <f>IF(AND(Formeln!$I$11=2,B213&lt;$E$4/Formeln!$M$20),B213+1,IF(AND(Formeln!$I$11=1,B213&lt;$E$4*Formeln!$M$20),B213+1,"xxx"))</f>
        <v>xxx</v>
      </c>
      <c r="C214" s="139" t="str">
        <f t="shared" si="6"/>
        <v>xxx</v>
      </c>
      <c r="D214" s="139" t="str">
        <f t="shared" si="7"/>
        <v>xxx</v>
      </c>
      <c r="E214" s="139" t="str">
        <f>IF(D214="xxx","xxx",IF(AND($E$8=1,Eingabe!$C$7="S"),(C214+D214)*$E$3/Formeln!$L$20,IF(AND($E$8=1,Eingabe!$C$7="K"),(C214-D214)*$E$3/Formeln!$L$20,C214*$E$3/Formeln!$L$20)))</f>
        <v>xxx</v>
      </c>
      <c r="F214" s="139">
        <f>IF(Eingabe!$C$7="K",C214-D214+E214,SUM(C214:E214))</f>
        <v>0</v>
      </c>
    </row>
    <row r="215" spans="2:6" x14ac:dyDescent="0.25">
      <c r="B215" s="138" t="str">
        <f>IF(AND(Formeln!$I$11=2,B214&lt;$E$4/Formeln!$M$20),B214+1,IF(AND(Formeln!$I$11=1,B214&lt;$E$4*Formeln!$M$20),B214+1,"xxx"))</f>
        <v>xxx</v>
      </c>
      <c r="C215" s="139" t="str">
        <f t="shared" si="6"/>
        <v>xxx</v>
      </c>
      <c r="D215" s="139" t="str">
        <f t="shared" si="7"/>
        <v>xxx</v>
      </c>
      <c r="E215" s="139" t="str">
        <f>IF(D215="xxx","xxx",IF(AND($E$8=1,Eingabe!$C$7="S"),(C215+D215)*$E$3/Formeln!$L$20,IF(AND($E$8=1,Eingabe!$C$7="K"),(C215-D215)*$E$3/Formeln!$L$20,C215*$E$3/Formeln!$L$20)))</f>
        <v>xxx</v>
      </c>
      <c r="F215" s="139">
        <f>IF(Eingabe!$C$7="K",C215-D215+E215,SUM(C215:E215))</f>
        <v>0</v>
      </c>
    </row>
    <row r="216" spans="2:6" x14ac:dyDescent="0.25">
      <c r="B216" s="138" t="str">
        <f>IF(AND(Formeln!$I$11=2,B215&lt;$E$4/Formeln!$M$20),B215+1,IF(AND(Formeln!$I$11=1,B215&lt;$E$4*Formeln!$M$20),B215+1,"xxx"))</f>
        <v>xxx</v>
      </c>
      <c r="C216" s="139" t="str">
        <f t="shared" si="6"/>
        <v>xxx</v>
      </c>
      <c r="D216" s="139" t="str">
        <f t="shared" si="7"/>
        <v>xxx</v>
      </c>
      <c r="E216" s="139" t="str">
        <f>IF(D216="xxx","xxx",IF(AND($E$8=1,Eingabe!$C$7="S"),(C216+D216)*$E$3/Formeln!$L$20,IF(AND($E$8=1,Eingabe!$C$7="K"),(C216-D216)*$E$3/Formeln!$L$20,C216*$E$3/Formeln!$L$20)))</f>
        <v>xxx</v>
      </c>
      <c r="F216" s="139">
        <f>IF(Eingabe!$C$7="K",C216-D216+E216,SUM(C216:E216))</f>
        <v>0</v>
      </c>
    </row>
    <row r="217" spans="2:6" x14ac:dyDescent="0.25">
      <c r="B217" s="138" t="str">
        <f>IF(AND(Formeln!$I$11=2,B216&lt;$E$4/Formeln!$M$20),B216+1,IF(AND(Formeln!$I$11=1,B216&lt;$E$4*Formeln!$M$20),B216+1,"xxx"))</f>
        <v>xxx</v>
      </c>
      <c r="C217" s="139" t="str">
        <f t="shared" si="6"/>
        <v>xxx</v>
      </c>
      <c r="D217" s="139" t="str">
        <f t="shared" si="7"/>
        <v>xxx</v>
      </c>
      <c r="E217" s="139" t="str">
        <f>IF(D217="xxx","xxx",IF(AND($E$8=1,Eingabe!$C$7="S"),(C217+D217)*$E$3/Formeln!$L$20,IF(AND($E$8=1,Eingabe!$C$7="K"),(C217-D217)*$E$3/Formeln!$L$20,C217*$E$3/Formeln!$L$20)))</f>
        <v>xxx</v>
      </c>
      <c r="F217" s="139">
        <f>IF(Eingabe!$C$7="K",C217-D217+E217,SUM(C217:E217))</f>
        <v>0</v>
      </c>
    </row>
    <row r="218" spans="2:6" x14ac:dyDescent="0.25">
      <c r="B218" s="138" t="str">
        <f>IF(AND(Formeln!$I$11=2,B217&lt;$E$4/Formeln!$M$20),B217+1,IF(AND(Formeln!$I$11=1,B217&lt;$E$4*Formeln!$M$20),B217+1,"xxx"))</f>
        <v>xxx</v>
      </c>
      <c r="C218" s="139" t="str">
        <f t="shared" si="6"/>
        <v>xxx</v>
      </c>
      <c r="D218" s="139" t="str">
        <f t="shared" si="7"/>
        <v>xxx</v>
      </c>
      <c r="E218" s="139" t="str">
        <f>IF(D218="xxx","xxx",IF(AND($E$8=1,Eingabe!$C$7="S"),(C218+D218)*$E$3/Formeln!$L$20,IF(AND($E$8=1,Eingabe!$C$7="K"),(C218-D218)*$E$3/Formeln!$L$20,C218*$E$3/Formeln!$L$20)))</f>
        <v>xxx</v>
      </c>
      <c r="F218" s="139">
        <f>IF(Eingabe!$C$7="K",C218-D218+E218,SUM(C218:E218))</f>
        <v>0</v>
      </c>
    </row>
    <row r="219" spans="2:6" x14ac:dyDescent="0.25">
      <c r="B219" s="138" t="str">
        <f>IF(AND(Formeln!$I$11=2,B218&lt;$E$4/Formeln!$M$20),B218+1,IF(AND(Formeln!$I$11=1,B218&lt;$E$4*Formeln!$M$20),B218+1,"xxx"))</f>
        <v>xxx</v>
      </c>
      <c r="C219" s="139" t="str">
        <f t="shared" si="6"/>
        <v>xxx</v>
      </c>
      <c r="D219" s="139" t="str">
        <f t="shared" si="7"/>
        <v>xxx</v>
      </c>
      <c r="E219" s="139" t="str">
        <f>IF(D219="xxx","xxx",IF(AND($E$8=1,Eingabe!$C$7="S"),(C219+D219)*$E$3/Formeln!$L$20,IF(AND($E$8=1,Eingabe!$C$7="K"),(C219-D219)*$E$3/Formeln!$L$20,C219*$E$3/Formeln!$L$20)))</f>
        <v>xxx</v>
      </c>
      <c r="F219" s="139">
        <f>IF(Eingabe!$C$7="K",C219-D219+E219,SUM(C219:E219))</f>
        <v>0</v>
      </c>
    </row>
    <row r="220" spans="2:6" x14ac:dyDescent="0.25">
      <c r="B220" s="138" t="str">
        <f>IF(AND(Formeln!$I$11=2,B219&lt;$E$4/Formeln!$M$20),B219+1,IF(AND(Formeln!$I$11=1,B219&lt;$E$4*Formeln!$M$20),B219+1,"xxx"))</f>
        <v>xxx</v>
      </c>
      <c r="C220" s="139" t="str">
        <f t="shared" si="6"/>
        <v>xxx</v>
      </c>
      <c r="D220" s="139" t="str">
        <f t="shared" si="7"/>
        <v>xxx</v>
      </c>
      <c r="E220" s="139" t="str">
        <f>IF(D220="xxx","xxx",IF(AND($E$8=1,Eingabe!$C$7="S"),(C220+D220)*$E$3/Formeln!$L$20,IF(AND($E$8=1,Eingabe!$C$7="K"),(C220-D220)*$E$3/Formeln!$L$20,C220*$E$3/Formeln!$L$20)))</f>
        <v>xxx</v>
      </c>
      <c r="F220" s="139">
        <f>IF(Eingabe!$C$7="K",C220-D220+E220,SUM(C220:E220))</f>
        <v>0</v>
      </c>
    </row>
    <row r="221" spans="2:6" x14ac:dyDescent="0.25">
      <c r="B221" s="138" t="str">
        <f>IF(AND(Formeln!$I$11=2,B220&lt;$E$4/Formeln!$M$20),B220+1,IF(AND(Formeln!$I$11=1,B220&lt;$E$4*Formeln!$M$20),B220+1,"xxx"))</f>
        <v>xxx</v>
      </c>
      <c r="C221" s="139" t="str">
        <f t="shared" si="6"/>
        <v>xxx</v>
      </c>
      <c r="D221" s="139" t="str">
        <f t="shared" si="7"/>
        <v>xxx</v>
      </c>
      <c r="E221" s="139" t="str">
        <f>IF(D221="xxx","xxx",IF(AND($E$8=1,Eingabe!$C$7="S"),(C221+D221)*$E$3/Formeln!$L$20,IF(AND($E$8=1,Eingabe!$C$7="K"),(C221-D221)*$E$3/Formeln!$L$20,C221*$E$3/Formeln!$L$20)))</f>
        <v>xxx</v>
      </c>
      <c r="F221" s="139">
        <f>IF(Eingabe!$C$7="K",C221-D221+E221,SUM(C221:E221))</f>
        <v>0</v>
      </c>
    </row>
    <row r="222" spans="2:6" x14ac:dyDescent="0.25">
      <c r="B222" s="138" t="str">
        <f>IF(AND(Formeln!$I$11=2,B221&lt;$E$4/Formeln!$M$20),B221+1,IF(AND(Formeln!$I$11=1,B221&lt;$E$4*Formeln!$M$20),B221+1,"xxx"))</f>
        <v>xxx</v>
      </c>
      <c r="C222" s="139" t="str">
        <f t="shared" si="6"/>
        <v>xxx</v>
      </c>
      <c r="D222" s="139" t="str">
        <f t="shared" si="7"/>
        <v>xxx</v>
      </c>
      <c r="E222" s="139" t="str">
        <f>IF(D222="xxx","xxx",IF(AND($E$8=1,Eingabe!$C$7="S"),(C222+D222)*$E$3/Formeln!$L$20,IF(AND($E$8=1,Eingabe!$C$7="K"),(C222-D222)*$E$3/Formeln!$L$20,C222*$E$3/Formeln!$L$20)))</f>
        <v>xxx</v>
      </c>
      <c r="F222" s="139">
        <f>IF(Eingabe!$C$7="K",C222-D222+E222,SUM(C222:E222))</f>
        <v>0</v>
      </c>
    </row>
    <row r="223" spans="2:6" x14ac:dyDescent="0.25">
      <c r="B223" s="138" t="str">
        <f>IF(AND(Formeln!$I$11=2,B222&lt;$E$4/Formeln!$M$20),B222+1,IF(AND(Formeln!$I$11=1,B222&lt;$E$4*Formeln!$M$20),B222+1,"xxx"))</f>
        <v>xxx</v>
      </c>
      <c r="C223" s="139" t="str">
        <f t="shared" si="6"/>
        <v>xxx</v>
      </c>
      <c r="D223" s="139" t="str">
        <f t="shared" si="7"/>
        <v>xxx</v>
      </c>
      <c r="E223" s="139" t="str">
        <f>IF(D223="xxx","xxx",IF(AND($E$8=1,Eingabe!$C$7="S"),(C223+D223)*$E$3/Formeln!$L$20,IF(AND($E$8=1,Eingabe!$C$7="K"),(C223-D223)*$E$3/Formeln!$L$20,C223*$E$3/Formeln!$L$20)))</f>
        <v>xxx</v>
      </c>
      <c r="F223" s="139">
        <f>IF(Eingabe!$C$7="K",C223-D223+E223,SUM(C223:E223))</f>
        <v>0</v>
      </c>
    </row>
    <row r="224" spans="2:6" x14ac:dyDescent="0.25">
      <c r="B224" s="138" t="str">
        <f>IF(AND(Formeln!$I$11=2,B223&lt;$E$4/Formeln!$M$20),B223+1,IF(AND(Formeln!$I$11=1,B223&lt;$E$4*Formeln!$M$20),B223+1,"xxx"))</f>
        <v>xxx</v>
      </c>
      <c r="C224" s="139" t="str">
        <f t="shared" si="6"/>
        <v>xxx</v>
      </c>
      <c r="D224" s="139" t="str">
        <f t="shared" si="7"/>
        <v>xxx</v>
      </c>
      <c r="E224" s="139" t="str">
        <f>IF(D224="xxx","xxx",IF(AND($E$8=1,Eingabe!$C$7="S"),(C224+D224)*$E$3/Formeln!$L$20,IF(AND($E$8=1,Eingabe!$C$7="K"),(C224-D224)*$E$3/Formeln!$L$20,C224*$E$3/Formeln!$L$20)))</f>
        <v>xxx</v>
      </c>
      <c r="F224" s="139">
        <f>IF(Eingabe!$C$7="K",C224-D224+E224,SUM(C224:E224))</f>
        <v>0</v>
      </c>
    </row>
    <row r="225" spans="2:6" x14ac:dyDescent="0.25">
      <c r="B225" s="138" t="str">
        <f>IF(AND(Formeln!$I$11=2,B224&lt;$E$4/Formeln!$M$20),B224+1,IF(AND(Formeln!$I$11=1,B224&lt;$E$4*Formeln!$M$20),B224+1,"xxx"))</f>
        <v>xxx</v>
      </c>
      <c r="C225" s="139" t="str">
        <f t="shared" si="6"/>
        <v>xxx</v>
      </c>
      <c r="D225" s="139" t="str">
        <f t="shared" si="7"/>
        <v>xxx</v>
      </c>
      <c r="E225" s="139" t="str">
        <f>IF(D225="xxx","xxx",IF(AND($E$8=1,Eingabe!$C$7="S"),(C225+D225)*$E$3/Formeln!$L$20,IF(AND($E$8=1,Eingabe!$C$7="K"),(C225-D225)*$E$3/Formeln!$L$20,C225*$E$3/Formeln!$L$20)))</f>
        <v>xxx</v>
      </c>
      <c r="F225" s="139">
        <f>IF(Eingabe!$C$7="K",C225-D225+E225,SUM(C225:E225))</f>
        <v>0</v>
      </c>
    </row>
    <row r="226" spans="2:6" x14ac:dyDescent="0.25">
      <c r="B226" s="138" t="str">
        <f>IF(AND(Formeln!$I$11=2,B225&lt;$E$4/Formeln!$M$20),B225+1,IF(AND(Formeln!$I$11=1,B225&lt;$E$4*Formeln!$M$20),B225+1,"xxx"))</f>
        <v>xxx</v>
      </c>
      <c r="C226" s="139" t="str">
        <f t="shared" si="6"/>
        <v>xxx</v>
      </c>
      <c r="D226" s="139" t="str">
        <f t="shared" si="7"/>
        <v>xxx</v>
      </c>
      <c r="E226" s="139" t="str">
        <f>IF(D226="xxx","xxx",IF(AND($E$8=1,Eingabe!$C$7="S"),(C226+D226)*$E$3/Formeln!$L$20,IF(AND($E$8=1,Eingabe!$C$7="K"),(C226-D226)*$E$3/Formeln!$L$20,C226*$E$3/Formeln!$L$20)))</f>
        <v>xxx</v>
      </c>
      <c r="F226" s="139">
        <f>IF(Eingabe!$C$7="K",C226-D226+E226,SUM(C226:E226))</f>
        <v>0</v>
      </c>
    </row>
    <row r="227" spans="2:6" x14ac:dyDescent="0.25">
      <c r="B227" s="138" t="str">
        <f>IF(AND(Formeln!$I$11=2,B226&lt;$E$4/Formeln!$M$20),B226+1,IF(AND(Formeln!$I$11=1,B226&lt;$E$4*Formeln!$M$20),B226+1,"xxx"))</f>
        <v>xxx</v>
      </c>
      <c r="C227" s="139" t="str">
        <f t="shared" si="6"/>
        <v>xxx</v>
      </c>
      <c r="D227" s="139" t="str">
        <f t="shared" si="7"/>
        <v>xxx</v>
      </c>
      <c r="E227" s="139" t="str">
        <f>IF(D227="xxx","xxx",IF(AND($E$8=1,Eingabe!$C$7="S"),(C227+D227)*$E$3/Formeln!$L$20,IF(AND($E$8=1,Eingabe!$C$7="K"),(C227-D227)*$E$3/Formeln!$L$20,C227*$E$3/Formeln!$L$20)))</f>
        <v>xxx</v>
      </c>
      <c r="F227" s="139">
        <f>IF(Eingabe!$C$7="K",C227-D227+E227,SUM(C227:E227))</f>
        <v>0</v>
      </c>
    </row>
    <row r="228" spans="2:6" x14ac:dyDescent="0.25">
      <c r="B228" s="138" t="str">
        <f>IF(AND(Formeln!$I$11=2,B227&lt;$E$4/Formeln!$M$20),B227+1,IF(AND(Formeln!$I$11=1,B227&lt;$E$4*Formeln!$M$20),B227+1,"xxx"))</f>
        <v>xxx</v>
      </c>
      <c r="C228" s="139" t="str">
        <f t="shared" si="6"/>
        <v>xxx</v>
      </c>
      <c r="D228" s="139" t="str">
        <f t="shared" si="7"/>
        <v>xxx</v>
      </c>
      <c r="E228" s="139" t="str">
        <f>IF(D228="xxx","xxx",IF(AND($E$8=1,Eingabe!$C$7="S"),(C228+D228)*$E$3/Formeln!$L$20,IF(AND($E$8=1,Eingabe!$C$7="K"),(C228-D228)*$E$3/Formeln!$L$20,C228*$E$3/Formeln!$L$20)))</f>
        <v>xxx</v>
      </c>
      <c r="F228" s="139">
        <f>IF(Eingabe!$C$7="K",C228-D228+E228,SUM(C228:E228))</f>
        <v>0</v>
      </c>
    </row>
    <row r="229" spans="2:6" x14ac:dyDescent="0.25">
      <c r="B229" s="138" t="str">
        <f>IF(AND(Formeln!$I$11=2,B228&lt;$E$4/Formeln!$M$20),B228+1,IF(AND(Formeln!$I$11=1,B228&lt;$E$4*Formeln!$M$20),B228+1,"xxx"))</f>
        <v>xxx</v>
      </c>
      <c r="C229" s="139" t="str">
        <f t="shared" si="6"/>
        <v>xxx</v>
      </c>
      <c r="D229" s="139" t="str">
        <f t="shared" si="7"/>
        <v>xxx</v>
      </c>
      <c r="E229" s="139" t="str">
        <f>IF(D229="xxx","xxx",IF(AND($E$8=1,Eingabe!$C$7="S"),(C229+D229)*$E$3/Formeln!$L$20,IF(AND($E$8=1,Eingabe!$C$7="K"),(C229-D229)*$E$3/Formeln!$L$20,C229*$E$3/Formeln!$L$20)))</f>
        <v>xxx</v>
      </c>
      <c r="F229" s="139">
        <f>IF(Eingabe!$C$7="K",C229-D229+E229,SUM(C229:E229))</f>
        <v>0</v>
      </c>
    </row>
    <row r="230" spans="2:6" x14ac:dyDescent="0.25">
      <c r="B230" s="138" t="str">
        <f>IF(AND(Formeln!$I$11=2,B229&lt;$E$4/Formeln!$M$20),B229+1,IF(AND(Formeln!$I$11=1,B229&lt;$E$4*Formeln!$M$20),B229+1,"xxx"))</f>
        <v>xxx</v>
      </c>
      <c r="C230" s="139" t="str">
        <f t="shared" si="6"/>
        <v>xxx</v>
      </c>
      <c r="D230" s="139" t="str">
        <f t="shared" si="7"/>
        <v>xxx</v>
      </c>
      <c r="E230" s="139" t="str">
        <f>IF(D230="xxx","xxx",IF(AND($E$8=1,Eingabe!$C$7="S"),(C230+D230)*$E$3/Formeln!$L$20,IF(AND($E$8=1,Eingabe!$C$7="K"),(C230-D230)*$E$3/Formeln!$L$20,C230*$E$3/Formeln!$L$20)))</f>
        <v>xxx</v>
      </c>
      <c r="F230" s="139">
        <f>IF(Eingabe!$C$7="K",C230-D230+E230,SUM(C230:E230))</f>
        <v>0</v>
      </c>
    </row>
    <row r="231" spans="2:6" x14ac:dyDescent="0.25">
      <c r="B231" s="138" t="str">
        <f>IF(AND(Formeln!$I$11=2,B230&lt;$E$4/Formeln!$M$20),B230+1,IF(AND(Formeln!$I$11=1,B230&lt;$E$4*Formeln!$M$20),B230+1,"xxx"))</f>
        <v>xxx</v>
      </c>
      <c r="C231" s="139" t="str">
        <f t="shared" si="6"/>
        <v>xxx</v>
      </c>
      <c r="D231" s="139" t="str">
        <f t="shared" si="7"/>
        <v>xxx</v>
      </c>
      <c r="E231" s="139" t="str">
        <f>IF(D231="xxx","xxx",IF(AND($E$8=1,Eingabe!$C$7="S"),(C231+D231)*$E$3/Formeln!$L$20,IF(AND($E$8=1,Eingabe!$C$7="K"),(C231-D231)*$E$3/Formeln!$L$20,C231*$E$3/Formeln!$L$20)))</f>
        <v>xxx</v>
      </c>
      <c r="F231" s="139">
        <f>IF(Eingabe!$C$7="K",C231-D231+E231,SUM(C231:E231))</f>
        <v>0</v>
      </c>
    </row>
    <row r="232" spans="2:6" x14ac:dyDescent="0.25">
      <c r="B232" s="138" t="str">
        <f>IF(AND(Formeln!$I$11=2,B231&lt;$E$4/Formeln!$M$20),B231+1,IF(AND(Formeln!$I$11=1,B231&lt;$E$4*Formeln!$M$20),B231+1,"xxx"))</f>
        <v>xxx</v>
      </c>
      <c r="C232" s="139" t="str">
        <f t="shared" si="6"/>
        <v>xxx</v>
      </c>
      <c r="D232" s="139" t="str">
        <f t="shared" si="7"/>
        <v>xxx</v>
      </c>
      <c r="E232" s="139" t="str">
        <f>IF(D232="xxx","xxx",IF(AND($E$8=1,Eingabe!$C$7="S"),(C232+D232)*$E$3/Formeln!$L$20,IF(AND($E$8=1,Eingabe!$C$7="K"),(C232-D232)*$E$3/Formeln!$L$20,C232*$E$3/Formeln!$L$20)))</f>
        <v>xxx</v>
      </c>
      <c r="F232" s="139">
        <f>IF(Eingabe!$C$7="K",C232-D232+E232,SUM(C232:E232))</f>
        <v>0</v>
      </c>
    </row>
    <row r="233" spans="2:6" x14ac:dyDescent="0.25">
      <c r="B233" s="138" t="str">
        <f>IF(AND(Formeln!$I$11=2,B232&lt;$E$4/Formeln!$M$20),B232+1,IF(AND(Formeln!$I$11=1,B232&lt;$E$4*Formeln!$M$20),B232+1,"xxx"))</f>
        <v>xxx</v>
      </c>
      <c r="C233" s="139" t="str">
        <f t="shared" si="6"/>
        <v>xxx</v>
      </c>
      <c r="D233" s="139" t="str">
        <f t="shared" si="7"/>
        <v>xxx</v>
      </c>
      <c r="E233" s="139" t="str">
        <f>IF(D233="xxx","xxx",IF(AND($E$8=1,Eingabe!$C$7="S"),(C233+D233)*$E$3/Formeln!$L$20,IF(AND($E$8=1,Eingabe!$C$7="K"),(C233-D233)*$E$3/Formeln!$L$20,C233*$E$3/Formeln!$L$20)))</f>
        <v>xxx</v>
      </c>
      <c r="F233" s="139">
        <f>IF(Eingabe!$C$7="K",C233-D233+E233,SUM(C233:E233))</f>
        <v>0</v>
      </c>
    </row>
    <row r="234" spans="2:6" x14ac:dyDescent="0.25">
      <c r="B234" s="138" t="str">
        <f>IF(AND(Formeln!$I$11=2,B233&lt;$E$4/Formeln!$M$20),B233+1,IF(AND(Formeln!$I$11=1,B233&lt;$E$4*Formeln!$M$20),B233+1,"xxx"))</f>
        <v>xxx</v>
      </c>
      <c r="C234" s="139" t="str">
        <f t="shared" si="6"/>
        <v>xxx</v>
      </c>
      <c r="D234" s="139" t="str">
        <f t="shared" si="7"/>
        <v>xxx</v>
      </c>
      <c r="E234" s="139" t="str">
        <f>IF(D234="xxx","xxx",IF(AND($E$8=1,Eingabe!$C$7="S"),(C234+D234)*$E$3/Formeln!$L$20,IF(AND($E$8=1,Eingabe!$C$7="K"),(C234-D234)*$E$3/Formeln!$L$20,C234*$E$3/Formeln!$L$20)))</f>
        <v>xxx</v>
      </c>
      <c r="F234" s="139">
        <f>IF(Eingabe!$C$7="K",C234-D234+E234,SUM(C234:E234))</f>
        <v>0</v>
      </c>
    </row>
    <row r="235" spans="2:6" x14ac:dyDescent="0.25">
      <c r="B235" s="138" t="str">
        <f>IF(AND(Formeln!$I$11=2,B234&lt;$E$4/Formeln!$M$20),B234+1,IF(AND(Formeln!$I$11=1,B234&lt;$E$4*Formeln!$M$20),B234+1,"xxx"))</f>
        <v>xxx</v>
      </c>
      <c r="C235" s="139" t="str">
        <f t="shared" si="6"/>
        <v>xxx</v>
      </c>
      <c r="D235" s="139" t="str">
        <f t="shared" si="7"/>
        <v>xxx</v>
      </c>
      <c r="E235" s="139" t="str">
        <f>IF(D235="xxx","xxx",IF(AND($E$8=1,Eingabe!$C$7="S"),(C235+D235)*$E$3/Formeln!$L$20,IF(AND($E$8=1,Eingabe!$C$7="K"),(C235-D235)*$E$3/Formeln!$L$20,C235*$E$3/Formeln!$L$20)))</f>
        <v>xxx</v>
      </c>
      <c r="F235" s="139">
        <f>IF(Eingabe!$C$7="K",C235-D235+E235,SUM(C235:E235))</f>
        <v>0</v>
      </c>
    </row>
    <row r="236" spans="2:6" x14ac:dyDescent="0.25">
      <c r="B236" s="138" t="str">
        <f>IF(AND(Formeln!$I$11=2,B235&lt;$E$4/Formeln!$M$20),B235+1,IF(AND(Formeln!$I$11=1,B235&lt;$E$4*Formeln!$M$20),B235+1,"xxx"))</f>
        <v>xxx</v>
      </c>
      <c r="C236" s="139" t="str">
        <f t="shared" si="6"/>
        <v>xxx</v>
      </c>
      <c r="D236" s="139" t="str">
        <f t="shared" si="7"/>
        <v>xxx</v>
      </c>
      <c r="E236" s="139" t="str">
        <f>IF(D236="xxx","xxx",IF(AND($E$8=1,Eingabe!$C$7="S"),(C236+D236)*$E$3/Formeln!$L$20,IF(AND($E$8=1,Eingabe!$C$7="K"),(C236-D236)*$E$3/Formeln!$L$20,C236*$E$3/Formeln!$L$20)))</f>
        <v>xxx</v>
      </c>
      <c r="F236" s="139">
        <f>IF(Eingabe!$C$7="K",C236-D236+E236,SUM(C236:E236))</f>
        <v>0</v>
      </c>
    </row>
    <row r="237" spans="2:6" x14ac:dyDescent="0.25">
      <c r="B237" s="138" t="str">
        <f>IF(AND(Formeln!$I$11=2,B236&lt;$E$4/Formeln!$M$20),B236+1,IF(AND(Formeln!$I$11=1,B236&lt;$E$4*Formeln!$M$20),B236+1,"xxx"))</f>
        <v>xxx</v>
      </c>
      <c r="C237" s="139" t="str">
        <f t="shared" si="6"/>
        <v>xxx</v>
      </c>
      <c r="D237" s="139" t="str">
        <f t="shared" si="7"/>
        <v>xxx</v>
      </c>
      <c r="E237" s="139" t="str">
        <f>IF(D237="xxx","xxx",IF(AND($E$8=1,Eingabe!$C$7="S"),(C237+D237)*$E$3/Formeln!$L$20,IF(AND($E$8=1,Eingabe!$C$7="K"),(C237-D237)*$E$3/Formeln!$L$20,C237*$E$3/Formeln!$L$20)))</f>
        <v>xxx</v>
      </c>
      <c r="F237" s="139">
        <f>IF(Eingabe!$C$7="K",C237-D237+E237,SUM(C237:E237))</f>
        <v>0</v>
      </c>
    </row>
    <row r="238" spans="2:6" x14ac:dyDescent="0.25">
      <c r="B238" s="138" t="str">
        <f>IF(AND(Formeln!$I$11=2,B237&lt;$E$4/Formeln!$M$20),B237+1,IF(AND(Formeln!$I$11=1,B237&lt;$E$4*Formeln!$M$20),B237+1,"xxx"))</f>
        <v>xxx</v>
      </c>
      <c r="C238" s="139" t="str">
        <f t="shared" si="6"/>
        <v>xxx</v>
      </c>
      <c r="D238" s="139" t="str">
        <f t="shared" si="7"/>
        <v>xxx</v>
      </c>
      <c r="E238" s="139" t="str">
        <f>IF(D238="xxx","xxx",IF(AND($E$8=1,Eingabe!$C$7="S"),(C238+D238)*$E$3/Formeln!$L$20,IF(AND($E$8=1,Eingabe!$C$7="K"),(C238-D238)*$E$3/Formeln!$L$20,C238*$E$3/Formeln!$L$20)))</f>
        <v>xxx</v>
      </c>
      <c r="F238" s="139">
        <f>IF(Eingabe!$C$7="K",C238-D238+E238,SUM(C238:E238))</f>
        <v>0</v>
      </c>
    </row>
    <row r="239" spans="2:6" x14ac:dyDescent="0.25">
      <c r="B239" s="138" t="str">
        <f>IF(AND(Formeln!$I$11=2,B238&lt;$E$4/Formeln!$M$20),B238+1,IF(AND(Formeln!$I$11=1,B238&lt;$E$4*Formeln!$M$20),B238+1,"xxx"))</f>
        <v>xxx</v>
      </c>
      <c r="C239" s="139" t="str">
        <f t="shared" si="6"/>
        <v>xxx</v>
      </c>
      <c r="D239" s="139" t="str">
        <f t="shared" si="7"/>
        <v>xxx</v>
      </c>
      <c r="E239" s="139" t="str">
        <f>IF(D239="xxx","xxx",IF(AND($E$8=1,Eingabe!$C$7="S"),(C239+D239)*$E$3/Formeln!$L$20,IF(AND($E$8=1,Eingabe!$C$7="K"),(C239-D239)*$E$3/Formeln!$L$20,C239*$E$3/Formeln!$L$20)))</f>
        <v>xxx</v>
      </c>
      <c r="F239" s="139">
        <f>IF(Eingabe!$C$7="K",C239-D239+E239,SUM(C239:E239))</f>
        <v>0</v>
      </c>
    </row>
    <row r="240" spans="2:6" x14ac:dyDescent="0.25">
      <c r="B240" s="138" t="str">
        <f>IF(AND(Formeln!$I$11=2,B239&lt;$E$4/Formeln!$M$20),B239+1,IF(AND(Formeln!$I$11=1,B239&lt;$E$4*Formeln!$M$20),B239+1,"xxx"))</f>
        <v>xxx</v>
      </c>
      <c r="C240" s="139" t="str">
        <f t="shared" si="6"/>
        <v>xxx</v>
      </c>
      <c r="D240" s="139" t="str">
        <f t="shared" si="7"/>
        <v>xxx</v>
      </c>
      <c r="E240" s="139" t="str">
        <f>IF(D240="xxx","xxx",IF(AND($E$8=1,Eingabe!$C$7="S"),(C240+D240)*$E$3/Formeln!$L$20,IF(AND($E$8=1,Eingabe!$C$7="K"),(C240-D240)*$E$3/Formeln!$L$20,C240*$E$3/Formeln!$L$20)))</f>
        <v>xxx</v>
      </c>
      <c r="F240" s="139">
        <f>IF(Eingabe!$C$7="K",C240-D240+E240,SUM(C240:E240))</f>
        <v>0</v>
      </c>
    </row>
    <row r="241" spans="2:6" x14ac:dyDescent="0.25">
      <c r="B241" s="138" t="str">
        <f>IF(AND(Formeln!$I$11=2,B240&lt;$E$4/Formeln!$M$20),B240+1,IF(AND(Formeln!$I$11=1,B240&lt;$E$4*Formeln!$M$20),B240+1,"xxx"))</f>
        <v>xxx</v>
      </c>
      <c r="C241" s="139" t="str">
        <f t="shared" si="6"/>
        <v>xxx</v>
      </c>
      <c r="D241" s="139" t="str">
        <f t="shared" si="7"/>
        <v>xxx</v>
      </c>
      <c r="E241" s="139" t="str">
        <f>IF(D241="xxx","xxx",IF(AND($E$8=1,Eingabe!$C$7="S"),(C241+D241)*$E$3/Formeln!$L$20,IF(AND($E$8=1,Eingabe!$C$7="K"),(C241-D241)*$E$3/Formeln!$L$20,C241*$E$3/Formeln!$L$20)))</f>
        <v>xxx</v>
      </c>
      <c r="F241" s="139">
        <f>IF(Eingabe!$C$7="K",C241-D241+E241,SUM(C241:E241))</f>
        <v>0</v>
      </c>
    </row>
    <row r="242" spans="2:6" x14ac:dyDescent="0.25">
      <c r="B242" s="138" t="str">
        <f>IF(AND(Formeln!$I$11=2,B241&lt;$E$4/Formeln!$M$20),B241+1,IF(AND(Formeln!$I$11=1,B241&lt;$E$4*Formeln!$M$20),B241+1,"xxx"))</f>
        <v>xxx</v>
      </c>
      <c r="C242" s="139" t="str">
        <f t="shared" si="6"/>
        <v>xxx</v>
      </c>
      <c r="D242" s="139" t="str">
        <f t="shared" si="7"/>
        <v>xxx</v>
      </c>
      <c r="E242" s="139" t="str">
        <f>IF(D242="xxx","xxx",IF(AND($E$8=1,Eingabe!$C$7="S"),(C242+D242)*$E$3/Formeln!$L$20,IF(AND($E$8=1,Eingabe!$C$7="K"),(C242-D242)*$E$3/Formeln!$L$20,C242*$E$3/Formeln!$L$20)))</f>
        <v>xxx</v>
      </c>
      <c r="F242" s="139">
        <f>IF(Eingabe!$C$7="K",C242-D242+E242,SUM(C242:E242))</f>
        <v>0</v>
      </c>
    </row>
    <row r="243" spans="2:6" x14ac:dyDescent="0.25">
      <c r="B243" s="138" t="str">
        <f>IF(AND(Formeln!$I$11=2,B242&lt;$E$4/Formeln!$M$20),B242+1,IF(AND(Formeln!$I$11=1,B242&lt;$E$4*Formeln!$M$20),B242+1,"xxx"))</f>
        <v>xxx</v>
      </c>
      <c r="C243" s="139" t="str">
        <f t="shared" si="6"/>
        <v>xxx</v>
      </c>
      <c r="D243" s="139" t="str">
        <f t="shared" si="7"/>
        <v>xxx</v>
      </c>
      <c r="E243" s="139" t="str">
        <f>IF(D243="xxx","xxx",IF(AND($E$8=1,Eingabe!$C$7="S"),(C243+D243)*$E$3/Formeln!$L$20,IF(AND($E$8=1,Eingabe!$C$7="K"),(C243-D243)*$E$3/Formeln!$L$20,C243*$E$3/Formeln!$L$20)))</f>
        <v>xxx</v>
      </c>
      <c r="F243" s="139">
        <f>IF(Eingabe!$C$7="K",C243-D243+E243,SUM(C243:E243))</f>
        <v>0</v>
      </c>
    </row>
    <row r="244" spans="2:6" x14ac:dyDescent="0.25">
      <c r="B244" s="138" t="str">
        <f>IF(AND(Formeln!$I$11=2,B243&lt;$E$4/Formeln!$M$20),B243+1,IF(AND(Formeln!$I$11=1,B243&lt;$E$4*Formeln!$M$20),B243+1,"xxx"))</f>
        <v>xxx</v>
      </c>
      <c r="C244" s="139" t="str">
        <f t="shared" si="6"/>
        <v>xxx</v>
      </c>
      <c r="D244" s="139" t="str">
        <f t="shared" si="7"/>
        <v>xxx</v>
      </c>
      <c r="E244" s="139" t="str">
        <f>IF(D244="xxx","xxx",IF(AND($E$8=1,Eingabe!$C$7="S"),(C244+D244)*$E$3/Formeln!$L$20,IF(AND($E$8=1,Eingabe!$C$7="K"),(C244-D244)*$E$3/Formeln!$L$20,C244*$E$3/Formeln!$L$20)))</f>
        <v>xxx</v>
      </c>
      <c r="F244" s="139">
        <f>IF(Eingabe!$C$7="K",C244-D244+E244,SUM(C244:E244))</f>
        <v>0</v>
      </c>
    </row>
    <row r="245" spans="2:6" x14ac:dyDescent="0.25">
      <c r="B245" s="138" t="str">
        <f>IF(AND(Formeln!$I$11=2,B244&lt;$E$4/Formeln!$M$20),B244+1,IF(AND(Formeln!$I$11=1,B244&lt;$E$4*Formeln!$M$20),B244+1,"xxx"))</f>
        <v>xxx</v>
      </c>
      <c r="C245" s="139" t="str">
        <f t="shared" si="6"/>
        <v>xxx</v>
      </c>
      <c r="D245" s="139" t="str">
        <f t="shared" si="7"/>
        <v>xxx</v>
      </c>
      <c r="E245" s="139" t="str">
        <f>IF(D245="xxx","xxx",IF(AND($E$8=1,Eingabe!$C$7="S"),(C245+D245)*$E$3/Formeln!$L$20,IF(AND($E$8=1,Eingabe!$C$7="K"),(C245-D245)*$E$3/Formeln!$L$20,C245*$E$3/Formeln!$L$20)))</f>
        <v>xxx</v>
      </c>
      <c r="F245" s="139">
        <f>IF(Eingabe!$C$7="K",C245-D245+E245,SUM(C245:E245))</f>
        <v>0</v>
      </c>
    </row>
    <row r="246" spans="2:6" x14ac:dyDescent="0.25">
      <c r="B246" s="138" t="str">
        <f>IF(AND(Formeln!$I$11=2,B245&lt;$E$4/Formeln!$M$20),B245+1,IF(AND(Formeln!$I$11=1,B245&lt;$E$4*Formeln!$M$20),B245+1,"xxx"))</f>
        <v>xxx</v>
      </c>
      <c r="C246" s="139" t="str">
        <f t="shared" si="6"/>
        <v>xxx</v>
      </c>
      <c r="D246" s="139" t="str">
        <f t="shared" si="7"/>
        <v>xxx</v>
      </c>
      <c r="E246" s="139" t="str">
        <f>IF(D246="xxx","xxx",IF(AND($E$8=1,Eingabe!$C$7="S"),(C246+D246)*$E$3/Formeln!$L$20,IF(AND($E$8=1,Eingabe!$C$7="K"),(C246-D246)*$E$3/Formeln!$L$20,C246*$E$3/Formeln!$L$20)))</f>
        <v>xxx</v>
      </c>
      <c r="F246" s="139">
        <f>IF(Eingabe!$C$7="K",C246-D246+E246,SUM(C246:E246))</f>
        <v>0</v>
      </c>
    </row>
    <row r="247" spans="2:6" x14ac:dyDescent="0.25">
      <c r="B247" s="138" t="str">
        <f>IF(AND(Formeln!$I$11=2,B246&lt;$E$4/Formeln!$M$20),B246+1,IF(AND(Formeln!$I$11=1,B246&lt;$E$4*Formeln!$M$20),B246+1,"xxx"))</f>
        <v>xxx</v>
      </c>
      <c r="C247" s="139" t="str">
        <f t="shared" si="6"/>
        <v>xxx</v>
      </c>
      <c r="D247" s="139" t="str">
        <f t="shared" si="7"/>
        <v>xxx</v>
      </c>
      <c r="E247" s="139" t="str">
        <f>IF(D247="xxx","xxx",IF(AND($E$8=1,Eingabe!$C$7="S"),(C247+D247)*$E$3/Formeln!$L$20,IF(AND($E$8=1,Eingabe!$C$7="K"),(C247-D247)*$E$3/Formeln!$L$20,C247*$E$3/Formeln!$L$20)))</f>
        <v>xxx</v>
      </c>
      <c r="F247" s="139">
        <f>IF(Eingabe!$C$7="K",C247-D247+E247,SUM(C247:E247))</f>
        <v>0</v>
      </c>
    </row>
    <row r="248" spans="2:6" x14ac:dyDescent="0.25">
      <c r="B248" s="138" t="str">
        <f>IF(AND(Formeln!$I$11=2,B247&lt;$E$4/Formeln!$M$20),B247+1,IF(AND(Formeln!$I$11=1,B247&lt;$E$4*Formeln!$M$20),B247+1,"xxx"))</f>
        <v>xxx</v>
      </c>
      <c r="C248" s="139" t="str">
        <f t="shared" si="6"/>
        <v>xxx</v>
      </c>
      <c r="D248" s="139" t="str">
        <f t="shared" si="7"/>
        <v>xxx</v>
      </c>
      <c r="E248" s="139" t="str">
        <f>IF(D248="xxx","xxx",IF(AND($E$8=1,Eingabe!$C$7="S"),(C248+D248)*$E$3/Formeln!$L$20,IF(AND($E$8=1,Eingabe!$C$7="K"),(C248-D248)*$E$3/Formeln!$L$20,C248*$E$3/Formeln!$L$20)))</f>
        <v>xxx</v>
      </c>
      <c r="F248" s="139">
        <f>IF(Eingabe!$C$7="K",C248-D248+E248,SUM(C248:E248))</f>
        <v>0</v>
      </c>
    </row>
    <row r="249" spans="2:6" x14ac:dyDescent="0.25">
      <c r="B249" s="138" t="str">
        <f>IF(AND(Formeln!$I$11=2,B248&lt;$E$4/Formeln!$M$20),B248+1,IF(AND(Formeln!$I$11=1,B248&lt;$E$4*Formeln!$M$20),B248+1,"xxx"))</f>
        <v>xxx</v>
      </c>
      <c r="C249" s="139" t="str">
        <f t="shared" si="6"/>
        <v>xxx</v>
      </c>
      <c r="D249" s="139" t="str">
        <f t="shared" si="7"/>
        <v>xxx</v>
      </c>
      <c r="E249" s="139" t="str">
        <f>IF(D249="xxx","xxx",IF(AND($E$8=1,Eingabe!$C$7="S"),(C249+D249)*$E$3/Formeln!$L$20,IF(AND($E$8=1,Eingabe!$C$7="K"),(C249-D249)*$E$3/Formeln!$L$20,C249*$E$3/Formeln!$L$20)))</f>
        <v>xxx</v>
      </c>
      <c r="F249" s="139">
        <f>IF(Eingabe!$C$7="K",C249-D249+E249,SUM(C249:E249))</f>
        <v>0</v>
      </c>
    </row>
    <row r="250" spans="2:6" x14ac:dyDescent="0.25">
      <c r="B250" s="138" t="str">
        <f>IF(AND(Formeln!$I$11=2,B249&lt;$E$4/Formeln!$M$20),B249+1,IF(AND(Formeln!$I$11=1,B249&lt;$E$4*Formeln!$M$20),B249+1,"xxx"))</f>
        <v>xxx</v>
      </c>
      <c r="C250" s="139" t="str">
        <f t="shared" si="6"/>
        <v>xxx</v>
      </c>
      <c r="D250" s="139" t="str">
        <f t="shared" si="7"/>
        <v>xxx</v>
      </c>
      <c r="E250" s="139" t="str">
        <f>IF(D250="xxx","xxx",IF(AND($E$8=1,Eingabe!$C$7="S"),(C250+D250)*$E$3/Formeln!$L$20,IF(AND($E$8=1,Eingabe!$C$7="K"),(C250-D250)*$E$3/Formeln!$L$20,C250*$E$3/Formeln!$L$20)))</f>
        <v>xxx</v>
      </c>
      <c r="F250" s="139">
        <f>IF(Eingabe!$C$7="K",C250-D250+E250,SUM(C250:E250))</f>
        <v>0</v>
      </c>
    </row>
    <row r="251" spans="2:6" x14ac:dyDescent="0.25">
      <c r="B251" s="138" t="str">
        <f>IF(AND(Formeln!$I$11=2,B250&lt;$E$4/Formeln!$M$20),B250+1,IF(AND(Formeln!$I$11=1,B250&lt;$E$4*Formeln!$M$20),B250+1,"xxx"))</f>
        <v>xxx</v>
      </c>
      <c r="C251" s="139" t="str">
        <f t="shared" si="6"/>
        <v>xxx</v>
      </c>
      <c r="D251" s="139" t="str">
        <f t="shared" si="7"/>
        <v>xxx</v>
      </c>
      <c r="E251" s="139" t="str">
        <f>IF(D251="xxx","xxx",IF(AND($E$8=1,Eingabe!$C$7="S"),(C251+D251)*$E$3/Formeln!$L$20,IF(AND($E$8=1,Eingabe!$C$7="K"),(C251-D251)*$E$3/Formeln!$L$20,C251*$E$3/Formeln!$L$20)))</f>
        <v>xxx</v>
      </c>
      <c r="F251" s="139">
        <f>IF(Eingabe!$C$7="K",C251-D251+E251,SUM(C251:E251))</f>
        <v>0</v>
      </c>
    </row>
    <row r="252" spans="2:6" x14ac:dyDescent="0.25">
      <c r="B252" s="138" t="str">
        <f>IF(AND(Formeln!$I$11=2,B251&lt;$E$4/Formeln!$M$20),B251+1,IF(AND(Formeln!$I$11=1,B251&lt;$E$4*Formeln!$M$20),B251+1,"xxx"))</f>
        <v>xxx</v>
      </c>
      <c r="C252" s="139" t="str">
        <f t="shared" si="6"/>
        <v>xxx</v>
      </c>
      <c r="D252" s="139" t="str">
        <f t="shared" si="7"/>
        <v>xxx</v>
      </c>
      <c r="E252" s="139" t="str">
        <f>IF(D252="xxx","xxx",IF(AND($E$8=1,Eingabe!$C$7="S"),(C252+D252)*$E$3/Formeln!$L$20,IF(AND($E$8=1,Eingabe!$C$7="K"),(C252-D252)*$E$3/Formeln!$L$20,C252*$E$3/Formeln!$L$20)))</f>
        <v>xxx</v>
      </c>
      <c r="F252" s="139">
        <f>IF(Eingabe!$C$7="K",C252-D252+E252,SUM(C252:E252))</f>
        <v>0</v>
      </c>
    </row>
    <row r="253" spans="2:6" x14ac:dyDescent="0.25">
      <c r="B253" s="138" t="str">
        <f>IF(AND(Formeln!$I$11=2,B252&lt;$E$4/Formeln!$M$20),B252+1,IF(AND(Formeln!$I$11=1,B252&lt;$E$4*Formeln!$M$20),B252+1,"xxx"))</f>
        <v>xxx</v>
      </c>
      <c r="C253" s="139" t="str">
        <f t="shared" si="6"/>
        <v>xxx</v>
      </c>
      <c r="D253" s="139" t="str">
        <f t="shared" si="7"/>
        <v>xxx</v>
      </c>
      <c r="E253" s="139" t="str">
        <f>IF(D253="xxx","xxx",IF(AND($E$8=1,Eingabe!$C$7="S"),(C253+D253)*$E$3/Formeln!$L$20,IF(AND($E$8=1,Eingabe!$C$7="K"),(C253-D253)*$E$3/Formeln!$L$20,C253*$E$3/Formeln!$L$20)))</f>
        <v>xxx</v>
      </c>
      <c r="F253" s="139">
        <f>IF(Eingabe!$C$7="K",C253-D253+E253,SUM(C253:E253))</f>
        <v>0</v>
      </c>
    </row>
    <row r="254" spans="2:6" x14ac:dyDescent="0.25">
      <c r="B254" s="138" t="str">
        <f>IF(AND(Formeln!$I$11=2,B253&lt;$E$4/Formeln!$M$20),B253+1,IF(AND(Formeln!$I$11=1,B253&lt;$E$4*Formeln!$M$20),B253+1,"xxx"))</f>
        <v>xxx</v>
      </c>
      <c r="C254" s="139" t="str">
        <f t="shared" si="6"/>
        <v>xxx</v>
      </c>
      <c r="D254" s="139" t="str">
        <f t="shared" si="7"/>
        <v>xxx</v>
      </c>
      <c r="E254" s="139" t="str">
        <f>IF(D254="xxx","xxx",IF(AND($E$8=1,Eingabe!$C$7="S"),(C254+D254)*$E$3/Formeln!$L$20,IF(AND($E$8=1,Eingabe!$C$7="K"),(C254-D254)*$E$3/Formeln!$L$20,C254*$E$3/Formeln!$L$20)))</f>
        <v>xxx</v>
      </c>
      <c r="F254" s="139">
        <f>IF(Eingabe!$C$7="K",C254-D254+E254,SUM(C254:E254))</f>
        <v>0</v>
      </c>
    </row>
    <row r="255" spans="2:6" x14ac:dyDescent="0.25">
      <c r="B255" s="138" t="str">
        <f>IF(AND(Formeln!$I$11=2,B254&lt;$E$4/Formeln!$M$20),B254+1,IF(AND(Formeln!$I$11=1,B254&lt;$E$4*Formeln!$M$20),B254+1,"xxx"))</f>
        <v>xxx</v>
      </c>
      <c r="C255" s="139" t="str">
        <f t="shared" si="6"/>
        <v>xxx</v>
      </c>
      <c r="D255" s="139" t="str">
        <f t="shared" si="7"/>
        <v>xxx</v>
      </c>
      <c r="E255" s="139" t="str">
        <f>IF(D255="xxx","xxx",IF(AND($E$8=1,Eingabe!$C$7="S"),(C255+D255)*$E$3/Formeln!$L$20,IF(AND($E$8=1,Eingabe!$C$7="K"),(C255-D255)*$E$3/Formeln!$L$20,C255*$E$3/Formeln!$L$20)))</f>
        <v>xxx</v>
      </c>
      <c r="F255" s="139">
        <f>IF(Eingabe!$C$7="K",C255-D255+E255,SUM(C255:E255))</f>
        <v>0</v>
      </c>
    </row>
    <row r="256" spans="2:6" x14ac:dyDescent="0.25">
      <c r="B256" s="138" t="str">
        <f>IF(AND(Formeln!$I$11=2,B255&lt;$E$4/Formeln!$M$20),B255+1,IF(AND(Formeln!$I$11=1,B255&lt;$E$4*Formeln!$M$20),B255+1,"xxx"))</f>
        <v>xxx</v>
      </c>
      <c r="C256" s="139" t="str">
        <f t="shared" si="6"/>
        <v>xxx</v>
      </c>
      <c r="D256" s="139" t="str">
        <f t="shared" si="7"/>
        <v>xxx</v>
      </c>
      <c r="E256" s="139" t="str">
        <f>IF(D256="xxx","xxx",IF(AND($E$8=1,Eingabe!$C$7="S"),(C256+D256)*$E$3/Formeln!$L$20,IF(AND($E$8=1,Eingabe!$C$7="K"),(C256-D256)*$E$3/Formeln!$L$20,C256*$E$3/Formeln!$L$20)))</f>
        <v>xxx</v>
      </c>
      <c r="F256" s="139">
        <f>IF(Eingabe!$C$7="K",C256-D256+E256,SUM(C256:E256))</f>
        <v>0</v>
      </c>
    </row>
    <row r="257" spans="2:6" x14ac:dyDescent="0.25">
      <c r="B257" s="138" t="str">
        <f>IF(AND(Formeln!$I$11=2,B256&lt;$E$4/Formeln!$M$20),B256+1,IF(AND(Formeln!$I$11=1,B256&lt;$E$4*Formeln!$M$20),B256+1,"xxx"))</f>
        <v>xxx</v>
      </c>
      <c r="C257" s="139" t="str">
        <f t="shared" si="6"/>
        <v>xxx</v>
      </c>
      <c r="D257" s="139" t="str">
        <f t="shared" si="7"/>
        <v>xxx</v>
      </c>
      <c r="E257" s="139" t="str">
        <f>IF(D257="xxx","xxx",IF(AND($E$8=1,Eingabe!$C$7="S"),(C257+D257)*$E$3/Formeln!$L$20,IF(AND($E$8=1,Eingabe!$C$7="K"),(C257-D257)*$E$3/Formeln!$L$20,C257*$E$3/Formeln!$L$20)))</f>
        <v>xxx</v>
      </c>
      <c r="F257" s="139">
        <f>IF(Eingabe!$C$7="K",C257-D257+E257,SUM(C257:E257))</f>
        <v>0</v>
      </c>
    </row>
    <row r="258" spans="2:6" x14ac:dyDescent="0.25">
      <c r="B258" s="138" t="str">
        <f>IF(AND(Formeln!$I$11=2,B257&lt;$E$4/Formeln!$M$20),B257+1,IF(AND(Formeln!$I$11=1,B257&lt;$E$4*Formeln!$M$20),B257+1,"xxx"))</f>
        <v>xxx</v>
      </c>
      <c r="C258" s="139" t="str">
        <f t="shared" si="6"/>
        <v>xxx</v>
      </c>
      <c r="D258" s="139" t="str">
        <f t="shared" si="7"/>
        <v>xxx</v>
      </c>
      <c r="E258" s="139" t="str">
        <f>IF(D258="xxx","xxx",IF(AND($E$8=1,Eingabe!$C$7="S"),(C258+D258)*$E$3/Formeln!$L$20,IF(AND($E$8=1,Eingabe!$C$7="K"),(C258-D258)*$E$3/Formeln!$L$20,C258*$E$3/Formeln!$L$20)))</f>
        <v>xxx</v>
      </c>
      <c r="F258" s="139">
        <f>IF(Eingabe!$C$7="K",C258-D258+E258,SUM(C258:E258))</f>
        <v>0</v>
      </c>
    </row>
    <row r="259" spans="2:6" x14ac:dyDescent="0.25">
      <c r="B259" s="138" t="str">
        <f>IF(AND(Formeln!$I$11=2,B258&lt;$E$4/Formeln!$M$20),B258+1,IF(AND(Formeln!$I$11=1,B258&lt;$E$4*Formeln!$M$20),B258+1,"xxx"))</f>
        <v>xxx</v>
      </c>
      <c r="C259" s="139" t="str">
        <f t="shared" si="6"/>
        <v>xxx</v>
      </c>
      <c r="D259" s="139" t="str">
        <f t="shared" si="7"/>
        <v>xxx</v>
      </c>
      <c r="E259" s="139" t="str">
        <f>IF(D259="xxx","xxx",IF(AND($E$8=1,Eingabe!$C$7="S"),(C259+D259)*$E$3/Formeln!$L$20,IF(AND($E$8=1,Eingabe!$C$7="K"),(C259-D259)*$E$3/Formeln!$L$20,C259*$E$3/Formeln!$L$20)))</f>
        <v>xxx</v>
      </c>
      <c r="F259" s="139">
        <f>IF(Eingabe!$C$7="K",C259-D259+E259,SUM(C259:E259))</f>
        <v>0</v>
      </c>
    </row>
    <row r="260" spans="2:6" x14ac:dyDescent="0.25">
      <c r="B260" s="138" t="str">
        <f>IF(AND(Formeln!$I$11=2,B259&lt;$E$4/Formeln!$M$20),B259+1,IF(AND(Formeln!$I$11=1,B259&lt;$E$4*Formeln!$M$20),B259+1,"xxx"))</f>
        <v>xxx</v>
      </c>
      <c r="C260" s="139" t="str">
        <f t="shared" si="6"/>
        <v>xxx</v>
      </c>
      <c r="D260" s="139" t="str">
        <f t="shared" si="7"/>
        <v>xxx</v>
      </c>
      <c r="E260" s="139" t="str">
        <f>IF(D260="xxx","xxx",IF(AND($E$8=1,Eingabe!$C$7="S"),(C260+D260)*$E$3/Formeln!$L$20,IF(AND($E$8=1,Eingabe!$C$7="K"),(C260-D260)*$E$3/Formeln!$L$20,C260*$E$3/Formeln!$L$20)))</f>
        <v>xxx</v>
      </c>
      <c r="F260" s="139">
        <f>IF(Eingabe!$C$7="K",C260-D260+E260,SUM(C260:E260))</f>
        <v>0</v>
      </c>
    </row>
    <row r="261" spans="2:6" x14ac:dyDescent="0.25">
      <c r="B261" s="138" t="str">
        <f>IF(AND(Formeln!$I$11=2,B260&lt;$E$4/Formeln!$M$20),B260+1,IF(AND(Formeln!$I$11=1,B260&lt;$E$4*Formeln!$M$20),B260+1,"xxx"))</f>
        <v>xxx</v>
      </c>
      <c r="C261" s="139" t="str">
        <f t="shared" si="6"/>
        <v>xxx</v>
      </c>
      <c r="D261" s="139" t="str">
        <f t="shared" si="7"/>
        <v>xxx</v>
      </c>
      <c r="E261" s="139" t="str">
        <f>IF(D261="xxx","xxx",IF(AND($E$8=1,Eingabe!$C$7="S"),(C261+D261)*$E$3/Formeln!$L$20,IF(AND($E$8=1,Eingabe!$C$7="K"),(C261-D261)*$E$3/Formeln!$L$20,C261*$E$3/Formeln!$L$20)))</f>
        <v>xxx</v>
      </c>
      <c r="F261" s="139">
        <f>IF(Eingabe!$C$7="K",C261-D261+E261,SUM(C261:E261))</f>
        <v>0</v>
      </c>
    </row>
    <row r="262" spans="2:6" x14ac:dyDescent="0.25">
      <c r="B262" s="138" t="str">
        <f>IF(AND(Formeln!$I$11=2,B261&lt;$E$4/Formeln!$M$20),B261+1,IF(AND(Formeln!$I$11=1,B261&lt;$E$4*Formeln!$M$20),B261+1,"xxx"))</f>
        <v>xxx</v>
      </c>
      <c r="C262" s="139" t="str">
        <f t="shared" si="6"/>
        <v>xxx</v>
      </c>
      <c r="D262" s="139" t="str">
        <f t="shared" si="7"/>
        <v>xxx</v>
      </c>
      <c r="E262" s="139" t="str">
        <f>IF(D262="xxx","xxx",IF(AND($E$8=1,Eingabe!$C$7="S"),(C262+D262)*$E$3/Formeln!$L$20,IF(AND($E$8=1,Eingabe!$C$7="K"),(C262-D262)*$E$3/Formeln!$L$20,C262*$E$3/Formeln!$L$20)))</f>
        <v>xxx</v>
      </c>
      <c r="F262" s="139">
        <f>IF(Eingabe!$C$7="K",C262-D262+E262,SUM(C262:E262))</f>
        <v>0</v>
      </c>
    </row>
    <row r="263" spans="2:6" x14ac:dyDescent="0.25">
      <c r="B263" s="138" t="str">
        <f>IF(AND(Formeln!$I$11=2,B262&lt;$E$4/Formeln!$M$20),B262+1,IF(AND(Formeln!$I$11=1,B262&lt;$E$4*Formeln!$M$20),B262+1,"xxx"))</f>
        <v>xxx</v>
      </c>
      <c r="C263" s="139" t="str">
        <f t="shared" si="6"/>
        <v>xxx</v>
      </c>
      <c r="D263" s="139" t="str">
        <f t="shared" si="7"/>
        <v>xxx</v>
      </c>
      <c r="E263" s="139" t="str">
        <f>IF(D263="xxx","xxx",IF(AND($E$8=1,Eingabe!$C$7="S"),(C263+D263)*$E$3/Formeln!$L$20,IF(AND($E$8=1,Eingabe!$C$7="K"),(C263-D263)*$E$3/Formeln!$L$20,C263*$E$3/Formeln!$L$20)))</f>
        <v>xxx</v>
      </c>
      <c r="F263" s="139">
        <f>IF(Eingabe!$C$7="K",C263-D263+E263,SUM(C263:E263))</f>
        <v>0</v>
      </c>
    </row>
    <row r="264" spans="2:6" x14ac:dyDescent="0.25">
      <c r="B264" s="138" t="str">
        <f>IF(AND(Formeln!$I$11=2,B263&lt;$E$4/Formeln!$M$20),B263+1,IF(AND(Formeln!$I$11=1,B263&lt;$E$4*Formeln!$M$20),B263+1,"xxx"))</f>
        <v>xxx</v>
      </c>
      <c r="C264" s="139" t="str">
        <f t="shared" si="6"/>
        <v>xxx</v>
      </c>
      <c r="D264" s="139" t="str">
        <f t="shared" si="7"/>
        <v>xxx</v>
      </c>
      <c r="E264" s="139" t="str">
        <f>IF(D264="xxx","xxx",IF(AND($E$8=1,Eingabe!$C$7="S"),(C264+D264)*$E$3/Formeln!$L$20,IF(AND($E$8=1,Eingabe!$C$7="K"),(C264-D264)*$E$3/Formeln!$L$20,C264*$E$3/Formeln!$L$20)))</f>
        <v>xxx</v>
      </c>
      <c r="F264" s="139">
        <f>IF(Eingabe!$C$7="K",C264-D264+E264,SUM(C264:E264))</f>
        <v>0</v>
      </c>
    </row>
    <row r="265" spans="2:6" x14ac:dyDescent="0.25">
      <c r="B265" s="138" t="str">
        <f>IF(AND(Formeln!$I$11=2,B264&lt;$E$4/Formeln!$M$20),B264+1,IF(AND(Formeln!$I$11=1,B264&lt;$E$4*Formeln!$M$20),B264+1,"xxx"))</f>
        <v>xxx</v>
      </c>
      <c r="C265" s="139" t="str">
        <f t="shared" si="6"/>
        <v>xxx</v>
      </c>
      <c r="D265" s="139" t="str">
        <f t="shared" si="7"/>
        <v>xxx</v>
      </c>
      <c r="E265" s="139" t="str">
        <f>IF(D265="xxx","xxx",IF(AND($E$8=1,Eingabe!$C$7="S"),(C265+D265)*$E$3/Formeln!$L$20,IF(AND($E$8=1,Eingabe!$C$7="K"),(C265-D265)*$E$3/Formeln!$L$20,C265*$E$3/Formeln!$L$20)))</f>
        <v>xxx</v>
      </c>
      <c r="F265" s="139">
        <f>IF(Eingabe!$C$7="K",C265-D265+E265,SUM(C265:E265))</f>
        <v>0</v>
      </c>
    </row>
    <row r="266" spans="2:6" x14ac:dyDescent="0.25">
      <c r="B266" s="138" t="str">
        <f>IF(AND(Formeln!$I$11=2,B265&lt;$E$4/Formeln!$M$20),B265+1,IF(AND(Formeln!$I$11=1,B265&lt;$E$4*Formeln!$M$20),B265+1,"xxx"))</f>
        <v>xxx</v>
      </c>
      <c r="C266" s="139" t="str">
        <f t="shared" si="6"/>
        <v>xxx</v>
      </c>
      <c r="D266" s="139" t="str">
        <f t="shared" si="7"/>
        <v>xxx</v>
      </c>
      <c r="E266" s="139" t="str">
        <f>IF(D266="xxx","xxx",IF(AND($E$8=1,Eingabe!$C$7="S"),(C266+D266)*$E$3/Formeln!$L$20,IF(AND($E$8=1,Eingabe!$C$7="K"),(C266-D266)*$E$3/Formeln!$L$20,C266*$E$3/Formeln!$L$20)))</f>
        <v>xxx</v>
      </c>
      <c r="F266" s="139">
        <f>IF(Eingabe!$C$7="K",C266-D266+E266,SUM(C266:E266))</f>
        <v>0</v>
      </c>
    </row>
    <row r="267" spans="2:6" x14ac:dyDescent="0.25">
      <c r="B267" s="138" t="str">
        <f>IF(AND(Formeln!$I$11=2,B266&lt;$E$4/Formeln!$M$20),B266+1,IF(AND(Formeln!$I$11=1,B266&lt;$E$4*Formeln!$M$20),B266+1,"xxx"))</f>
        <v>xxx</v>
      </c>
      <c r="C267" s="139" t="str">
        <f t="shared" si="6"/>
        <v>xxx</v>
      </c>
      <c r="D267" s="139" t="str">
        <f t="shared" si="7"/>
        <v>xxx</v>
      </c>
      <c r="E267" s="139" t="str">
        <f>IF(D267="xxx","xxx",IF(AND($E$8=1,Eingabe!$C$7="S"),(C267+D267)*$E$3/Formeln!$L$20,IF(AND($E$8=1,Eingabe!$C$7="K"),(C267-D267)*$E$3/Formeln!$L$20,C267*$E$3/Formeln!$L$20)))</f>
        <v>xxx</v>
      </c>
      <c r="F267" s="139">
        <f>IF(Eingabe!$C$7="K",C267-D267+E267,SUM(C267:E267))</f>
        <v>0</v>
      </c>
    </row>
    <row r="268" spans="2:6" x14ac:dyDescent="0.25">
      <c r="B268" s="138" t="str">
        <f>IF(AND(Formeln!$I$11=2,B267&lt;$E$4/Formeln!$M$20),B267+1,IF(AND(Formeln!$I$11=1,B267&lt;$E$4*Formeln!$M$20),B267+1,"xxx"))</f>
        <v>xxx</v>
      </c>
      <c r="C268" s="139" t="str">
        <f t="shared" si="6"/>
        <v>xxx</v>
      </c>
      <c r="D268" s="139" t="str">
        <f t="shared" si="7"/>
        <v>xxx</v>
      </c>
      <c r="E268" s="139" t="str">
        <f>IF(D268="xxx","xxx",IF(AND($E$8=1,Eingabe!$C$7="S"),(C268+D268)*$E$3/Formeln!$L$20,IF(AND($E$8=1,Eingabe!$C$7="K"),(C268-D268)*$E$3/Formeln!$L$20,C268*$E$3/Formeln!$L$20)))</f>
        <v>xxx</v>
      </c>
      <c r="F268" s="139">
        <f>IF(Eingabe!$C$7="K",C268-D268+E268,SUM(C268:E268))</f>
        <v>0</v>
      </c>
    </row>
    <row r="269" spans="2:6" x14ac:dyDescent="0.25">
      <c r="B269" s="138" t="str">
        <f>IF(AND(Formeln!$I$11=2,B268&lt;$E$4/Formeln!$M$20),B268+1,IF(AND(Formeln!$I$11=1,B268&lt;$E$4*Formeln!$M$20),B268+1,"xxx"))</f>
        <v>xxx</v>
      </c>
      <c r="C269" s="139" t="str">
        <f t="shared" ref="C269:C332" si="8">IF(B269="xxx","xxx",F268)</f>
        <v>xxx</v>
      </c>
      <c r="D269" s="139" t="str">
        <f t="shared" ref="D269:D332" si="9">IF(C269="xxx","xxx",D268)</f>
        <v>xxx</v>
      </c>
      <c r="E269" s="139" t="str">
        <f>IF(D269="xxx","xxx",IF(AND($E$8=1,Eingabe!$C$7="S"),(C269+D269)*$E$3/Formeln!$L$20,IF(AND($E$8=1,Eingabe!$C$7="K"),(C269-D269)*$E$3/Formeln!$L$20,C269*$E$3/Formeln!$L$20)))</f>
        <v>xxx</v>
      </c>
      <c r="F269" s="139">
        <f>IF(Eingabe!$C$7="K",C269-D269+E269,SUM(C269:E269))</f>
        <v>0</v>
      </c>
    </row>
    <row r="270" spans="2:6" x14ac:dyDescent="0.25">
      <c r="B270" s="138" t="str">
        <f>IF(AND(Formeln!$I$11=2,B269&lt;$E$4/Formeln!$M$20),B269+1,IF(AND(Formeln!$I$11=1,B269&lt;$E$4*Formeln!$M$20),B269+1,"xxx"))</f>
        <v>xxx</v>
      </c>
      <c r="C270" s="139" t="str">
        <f t="shared" si="8"/>
        <v>xxx</v>
      </c>
      <c r="D270" s="139" t="str">
        <f t="shared" si="9"/>
        <v>xxx</v>
      </c>
      <c r="E270" s="139" t="str">
        <f>IF(D270="xxx","xxx",IF(AND($E$8=1,Eingabe!$C$7="S"),(C270+D270)*$E$3/Formeln!$L$20,IF(AND($E$8=1,Eingabe!$C$7="K"),(C270-D270)*$E$3/Formeln!$L$20,C270*$E$3/Formeln!$L$20)))</f>
        <v>xxx</v>
      </c>
      <c r="F270" s="139">
        <f>IF(Eingabe!$C$7="K",C270-D270+E270,SUM(C270:E270))</f>
        <v>0</v>
      </c>
    </row>
    <row r="271" spans="2:6" x14ac:dyDescent="0.25">
      <c r="B271" s="138" t="str">
        <f>IF(AND(Formeln!$I$11=2,B270&lt;$E$4/Formeln!$M$20),B270+1,IF(AND(Formeln!$I$11=1,B270&lt;$E$4*Formeln!$M$20),B270+1,"xxx"))</f>
        <v>xxx</v>
      </c>
      <c r="C271" s="139" t="str">
        <f t="shared" si="8"/>
        <v>xxx</v>
      </c>
      <c r="D271" s="139" t="str">
        <f t="shared" si="9"/>
        <v>xxx</v>
      </c>
      <c r="E271" s="139" t="str">
        <f>IF(D271="xxx","xxx",IF(AND($E$8=1,Eingabe!$C$7="S"),(C271+D271)*$E$3/Formeln!$L$20,IF(AND($E$8=1,Eingabe!$C$7="K"),(C271-D271)*$E$3/Formeln!$L$20,C271*$E$3/Formeln!$L$20)))</f>
        <v>xxx</v>
      </c>
      <c r="F271" s="139">
        <f>IF(Eingabe!$C$7="K",C271-D271+E271,SUM(C271:E271))</f>
        <v>0</v>
      </c>
    </row>
    <row r="272" spans="2:6" x14ac:dyDescent="0.25">
      <c r="B272" s="138" t="str">
        <f>IF(AND(Formeln!$I$11=2,B271&lt;$E$4/Formeln!$M$20),B271+1,IF(AND(Formeln!$I$11=1,B271&lt;$E$4*Formeln!$M$20),B271+1,"xxx"))</f>
        <v>xxx</v>
      </c>
      <c r="C272" s="139" t="str">
        <f t="shared" si="8"/>
        <v>xxx</v>
      </c>
      <c r="D272" s="139" t="str">
        <f t="shared" si="9"/>
        <v>xxx</v>
      </c>
      <c r="E272" s="139" t="str">
        <f>IF(D272="xxx","xxx",IF(AND($E$8=1,Eingabe!$C$7="S"),(C272+D272)*$E$3/Formeln!$L$20,IF(AND($E$8=1,Eingabe!$C$7="K"),(C272-D272)*$E$3/Formeln!$L$20,C272*$E$3/Formeln!$L$20)))</f>
        <v>xxx</v>
      </c>
      <c r="F272" s="139">
        <f>IF(Eingabe!$C$7="K",C272-D272+E272,SUM(C272:E272))</f>
        <v>0</v>
      </c>
    </row>
    <row r="273" spans="2:6" x14ac:dyDescent="0.25">
      <c r="B273" s="138" t="str">
        <f>IF(AND(Formeln!$I$11=2,B272&lt;$E$4/Formeln!$M$20),B272+1,IF(AND(Formeln!$I$11=1,B272&lt;$E$4*Formeln!$M$20),B272+1,"xxx"))</f>
        <v>xxx</v>
      </c>
      <c r="C273" s="139" t="str">
        <f t="shared" si="8"/>
        <v>xxx</v>
      </c>
      <c r="D273" s="139" t="str">
        <f t="shared" si="9"/>
        <v>xxx</v>
      </c>
      <c r="E273" s="139" t="str">
        <f>IF(D273="xxx","xxx",IF(AND($E$8=1,Eingabe!$C$7="S"),(C273+D273)*$E$3/Formeln!$L$20,IF(AND($E$8=1,Eingabe!$C$7="K"),(C273-D273)*$E$3/Formeln!$L$20,C273*$E$3/Formeln!$L$20)))</f>
        <v>xxx</v>
      </c>
      <c r="F273" s="139">
        <f>IF(Eingabe!$C$7="K",C273-D273+E273,SUM(C273:E273))</f>
        <v>0</v>
      </c>
    </row>
    <row r="274" spans="2:6" x14ac:dyDescent="0.25">
      <c r="B274" s="138" t="str">
        <f>IF(AND(Formeln!$I$11=2,B273&lt;$E$4/Formeln!$M$20),B273+1,IF(AND(Formeln!$I$11=1,B273&lt;$E$4*Formeln!$M$20),B273+1,"xxx"))</f>
        <v>xxx</v>
      </c>
      <c r="C274" s="139" t="str">
        <f t="shared" si="8"/>
        <v>xxx</v>
      </c>
      <c r="D274" s="139" t="str">
        <f t="shared" si="9"/>
        <v>xxx</v>
      </c>
      <c r="E274" s="139" t="str">
        <f>IF(D274="xxx","xxx",IF(AND($E$8=1,Eingabe!$C$7="S"),(C274+D274)*$E$3/Formeln!$L$20,IF(AND($E$8=1,Eingabe!$C$7="K"),(C274-D274)*$E$3/Formeln!$L$20,C274*$E$3/Formeln!$L$20)))</f>
        <v>xxx</v>
      </c>
      <c r="F274" s="139">
        <f>IF(Eingabe!$C$7="K",C274-D274+E274,SUM(C274:E274))</f>
        <v>0</v>
      </c>
    </row>
    <row r="275" spans="2:6" x14ac:dyDescent="0.25">
      <c r="B275" s="138" t="str">
        <f>IF(AND(Formeln!$I$11=2,B274&lt;$E$4/Formeln!$M$20),B274+1,IF(AND(Formeln!$I$11=1,B274&lt;$E$4*Formeln!$M$20),B274+1,"xxx"))</f>
        <v>xxx</v>
      </c>
      <c r="C275" s="139" t="str">
        <f t="shared" si="8"/>
        <v>xxx</v>
      </c>
      <c r="D275" s="139" t="str">
        <f t="shared" si="9"/>
        <v>xxx</v>
      </c>
      <c r="E275" s="139" t="str">
        <f>IF(D275="xxx","xxx",IF(AND($E$8=1,Eingabe!$C$7="S"),(C275+D275)*$E$3/Formeln!$L$20,IF(AND($E$8=1,Eingabe!$C$7="K"),(C275-D275)*$E$3/Formeln!$L$20,C275*$E$3/Formeln!$L$20)))</f>
        <v>xxx</v>
      </c>
      <c r="F275" s="139">
        <f>IF(Eingabe!$C$7="K",C275-D275+E275,SUM(C275:E275))</f>
        <v>0</v>
      </c>
    </row>
    <row r="276" spans="2:6" x14ac:dyDescent="0.25">
      <c r="B276" s="138" t="str">
        <f>IF(AND(Formeln!$I$11=2,B275&lt;$E$4/Formeln!$M$20),B275+1,IF(AND(Formeln!$I$11=1,B275&lt;$E$4*Formeln!$M$20),B275+1,"xxx"))</f>
        <v>xxx</v>
      </c>
      <c r="C276" s="139" t="str">
        <f t="shared" si="8"/>
        <v>xxx</v>
      </c>
      <c r="D276" s="139" t="str">
        <f t="shared" si="9"/>
        <v>xxx</v>
      </c>
      <c r="E276" s="139" t="str">
        <f>IF(D276="xxx","xxx",IF(AND($E$8=1,Eingabe!$C$7="S"),(C276+D276)*$E$3/Formeln!$L$20,IF(AND($E$8=1,Eingabe!$C$7="K"),(C276-D276)*$E$3/Formeln!$L$20,C276*$E$3/Formeln!$L$20)))</f>
        <v>xxx</v>
      </c>
      <c r="F276" s="139">
        <f>IF(Eingabe!$C$7="K",C276-D276+E276,SUM(C276:E276))</f>
        <v>0</v>
      </c>
    </row>
    <row r="277" spans="2:6" x14ac:dyDescent="0.25">
      <c r="B277" s="138" t="str">
        <f>IF(AND(Formeln!$I$11=2,B276&lt;$E$4/Formeln!$M$20),B276+1,IF(AND(Formeln!$I$11=1,B276&lt;$E$4*Formeln!$M$20),B276+1,"xxx"))</f>
        <v>xxx</v>
      </c>
      <c r="C277" s="139" t="str">
        <f t="shared" si="8"/>
        <v>xxx</v>
      </c>
      <c r="D277" s="139" t="str">
        <f t="shared" si="9"/>
        <v>xxx</v>
      </c>
      <c r="E277" s="139" t="str">
        <f>IF(D277="xxx","xxx",IF(AND($E$8=1,Eingabe!$C$7="S"),(C277+D277)*$E$3/Formeln!$L$20,IF(AND($E$8=1,Eingabe!$C$7="K"),(C277-D277)*$E$3/Formeln!$L$20,C277*$E$3/Formeln!$L$20)))</f>
        <v>xxx</v>
      </c>
      <c r="F277" s="139">
        <f>IF(Eingabe!$C$7="K",C277-D277+E277,SUM(C277:E277))</f>
        <v>0</v>
      </c>
    </row>
    <row r="278" spans="2:6" x14ac:dyDescent="0.25">
      <c r="B278" s="138" t="str">
        <f>IF(AND(Formeln!$I$11=2,B277&lt;$E$4/Formeln!$M$20),B277+1,IF(AND(Formeln!$I$11=1,B277&lt;$E$4*Formeln!$M$20),B277+1,"xxx"))</f>
        <v>xxx</v>
      </c>
      <c r="C278" s="139" t="str">
        <f t="shared" si="8"/>
        <v>xxx</v>
      </c>
      <c r="D278" s="139" t="str">
        <f t="shared" si="9"/>
        <v>xxx</v>
      </c>
      <c r="E278" s="139" t="str">
        <f>IF(D278="xxx","xxx",IF(AND($E$8=1,Eingabe!$C$7="S"),(C278+D278)*$E$3/Formeln!$L$20,IF(AND($E$8=1,Eingabe!$C$7="K"),(C278-D278)*$E$3/Formeln!$L$20,C278*$E$3/Formeln!$L$20)))</f>
        <v>xxx</v>
      </c>
      <c r="F278" s="139">
        <f>IF(Eingabe!$C$7="K",C278-D278+E278,SUM(C278:E278))</f>
        <v>0</v>
      </c>
    </row>
    <row r="279" spans="2:6" x14ac:dyDescent="0.25">
      <c r="B279" s="138" t="str">
        <f>IF(AND(Formeln!$I$11=2,B278&lt;$E$4/Formeln!$M$20),B278+1,IF(AND(Formeln!$I$11=1,B278&lt;$E$4*Formeln!$M$20),B278+1,"xxx"))</f>
        <v>xxx</v>
      </c>
      <c r="C279" s="139" t="str">
        <f t="shared" si="8"/>
        <v>xxx</v>
      </c>
      <c r="D279" s="139" t="str">
        <f t="shared" si="9"/>
        <v>xxx</v>
      </c>
      <c r="E279" s="139" t="str">
        <f>IF(D279="xxx","xxx",IF(AND($E$8=1,Eingabe!$C$7="S"),(C279+D279)*$E$3/Formeln!$L$20,IF(AND($E$8=1,Eingabe!$C$7="K"),(C279-D279)*$E$3/Formeln!$L$20,C279*$E$3/Formeln!$L$20)))</f>
        <v>xxx</v>
      </c>
      <c r="F279" s="139">
        <f>IF(Eingabe!$C$7="K",C279-D279+E279,SUM(C279:E279))</f>
        <v>0</v>
      </c>
    </row>
    <row r="280" spans="2:6" x14ac:dyDescent="0.25">
      <c r="B280" s="138" t="str">
        <f>IF(AND(Formeln!$I$11=2,B279&lt;$E$4/Formeln!$M$20),B279+1,IF(AND(Formeln!$I$11=1,B279&lt;$E$4*Formeln!$M$20),B279+1,"xxx"))</f>
        <v>xxx</v>
      </c>
      <c r="C280" s="139" t="str">
        <f t="shared" si="8"/>
        <v>xxx</v>
      </c>
      <c r="D280" s="139" t="str">
        <f t="shared" si="9"/>
        <v>xxx</v>
      </c>
      <c r="E280" s="139" t="str">
        <f>IF(D280="xxx","xxx",IF(AND($E$8=1,Eingabe!$C$7="S"),(C280+D280)*$E$3/Formeln!$L$20,IF(AND($E$8=1,Eingabe!$C$7="K"),(C280-D280)*$E$3/Formeln!$L$20,C280*$E$3/Formeln!$L$20)))</f>
        <v>xxx</v>
      </c>
      <c r="F280" s="139">
        <f>IF(Eingabe!$C$7="K",C280-D280+E280,SUM(C280:E280))</f>
        <v>0</v>
      </c>
    </row>
    <row r="281" spans="2:6" x14ac:dyDescent="0.25">
      <c r="B281" s="138" t="str">
        <f>IF(AND(Formeln!$I$11=2,B280&lt;$E$4/Formeln!$M$20),B280+1,IF(AND(Formeln!$I$11=1,B280&lt;$E$4*Formeln!$M$20),B280+1,"xxx"))</f>
        <v>xxx</v>
      </c>
      <c r="C281" s="139" t="str">
        <f t="shared" si="8"/>
        <v>xxx</v>
      </c>
      <c r="D281" s="139" t="str">
        <f t="shared" si="9"/>
        <v>xxx</v>
      </c>
      <c r="E281" s="139" t="str">
        <f>IF(D281="xxx","xxx",IF(AND($E$8=1,Eingabe!$C$7="S"),(C281+D281)*$E$3/Formeln!$L$20,IF(AND($E$8=1,Eingabe!$C$7="K"),(C281-D281)*$E$3/Formeln!$L$20,C281*$E$3/Formeln!$L$20)))</f>
        <v>xxx</v>
      </c>
      <c r="F281" s="139">
        <f>IF(Eingabe!$C$7="K",C281-D281+E281,SUM(C281:E281))</f>
        <v>0</v>
      </c>
    </row>
    <row r="282" spans="2:6" x14ac:dyDescent="0.25">
      <c r="B282" s="138" t="str">
        <f>IF(AND(Formeln!$I$11=2,B281&lt;$E$4/Formeln!$M$20),B281+1,IF(AND(Formeln!$I$11=1,B281&lt;$E$4*Formeln!$M$20),B281+1,"xxx"))</f>
        <v>xxx</v>
      </c>
      <c r="C282" s="139" t="str">
        <f t="shared" si="8"/>
        <v>xxx</v>
      </c>
      <c r="D282" s="139" t="str">
        <f t="shared" si="9"/>
        <v>xxx</v>
      </c>
      <c r="E282" s="139" t="str">
        <f>IF(D282="xxx","xxx",IF(AND($E$8=1,Eingabe!$C$7="S"),(C282+D282)*$E$3/Formeln!$L$20,IF(AND($E$8=1,Eingabe!$C$7="K"),(C282-D282)*$E$3/Formeln!$L$20,C282*$E$3/Formeln!$L$20)))</f>
        <v>xxx</v>
      </c>
      <c r="F282" s="139">
        <f>IF(Eingabe!$C$7="K",C282-D282+E282,SUM(C282:E282))</f>
        <v>0</v>
      </c>
    </row>
    <row r="283" spans="2:6" x14ac:dyDescent="0.25">
      <c r="B283" s="138" t="str">
        <f>IF(AND(Formeln!$I$11=2,B282&lt;$E$4/Formeln!$M$20),B282+1,IF(AND(Formeln!$I$11=1,B282&lt;$E$4*Formeln!$M$20),B282+1,"xxx"))</f>
        <v>xxx</v>
      </c>
      <c r="C283" s="139" t="str">
        <f t="shared" si="8"/>
        <v>xxx</v>
      </c>
      <c r="D283" s="139" t="str">
        <f t="shared" si="9"/>
        <v>xxx</v>
      </c>
      <c r="E283" s="139" t="str">
        <f>IF(D283="xxx","xxx",IF(AND($E$8=1,Eingabe!$C$7="S"),(C283+D283)*$E$3/Formeln!$L$20,IF(AND($E$8=1,Eingabe!$C$7="K"),(C283-D283)*$E$3/Formeln!$L$20,C283*$E$3/Formeln!$L$20)))</f>
        <v>xxx</v>
      </c>
      <c r="F283" s="139">
        <f>IF(Eingabe!$C$7="K",C283-D283+E283,SUM(C283:E283))</f>
        <v>0</v>
      </c>
    </row>
    <row r="284" spans="2:6" x14ac:dyDescent="0.25">
      <c r="B284" s="138" t="str">
        <f>IF(AND(Formeln!$I$11=2,B283&lt;$E$4/Formeln!$M$20),B283+1,IF(AND(Formeln!$I$11=1,B283&lt;$E$4*Formeln!$M$20),B283+1,"xxx"))</f>
        <v>xxx</v>
      </c>
      <c r="C284" s="139" t="str">
        <f t="shared" si="8"/>
        <v>xxx</v>
      </c>
      <c r="D284" s="139" t="str">
        <f t="shared" si="9"/>
        <v>xxx</v>
      </c>
      <c r="E284" s="139" t="str">
        <f>IF(D284="xxx","xxx",IF(AND($E$8=1,Eingabe!$C$7="S"),(C284+D284)*$E$3/Formeln!$L$20,IF(AND($E$8=1,Eingabe!$C$7="K"),(C284-D284)*$E$3/Formeln!$L$20,C284*$E$3/Formeln!$L$20)))</f>
        <v>xxx</v>
      </c>
      <c r="F284" s="139">
        <f>IF(Eingabe!$C$7="K",C284-D284+E284,SUM(C284:E284))</f>
        <v>0</v>
      </c>
    </row>
    <row r="285" spans="2:6" x14ac:dyDescent="0.25">
      <c r="B285" s="138" t="str">
        <f>IF(AND(Formeln!$I$11=2,B284&lt;$E$4/Formeln!$M$20),B284+1,IF(AND(Formeln!$I$11=1,B284&lt;$E$4*Formeln!$M$20),B284+1,"xxx"))</f>
        <v>xxx</v>
      </c>
      <c r="C285" s="139" t="str">
        <f t="shared" si="8"/>
        <v>xxx</v>
      </c>
      <c r="D285" s="139" t="str">
        <f t="shared" si="9"/>
        <v>xxx</v>
      </c>
      <c r="E285" s="139" t="str">
        <f>IF(D285="xxx","xxx",IF(AND($E$8=1,Eingabe!$C$7="S"),(C285+D285)*$E$3/Formeln!$L$20,IF(AND($E$8=1,Eingabe!$C$7="K"),(C285-D285)*$E$3/Formeln!$L$20,C285*$E$3/Formeln!$L$20)))</f>
        <v>xxx</v>
      </c>
      <c r="F285" s="139">
        <f>IF(Eingabe!$C$7="K",C285-D285+E285,SUM(C285:E285))</f>
        <v>0</v>
      </c>
    </row>
    <row r="286" spans="2:6" x14ac:dyDescent="0.25">
      <c r="B286" s="138" t="str">
        <f>IF(AND(Formeln!$I$11=2,B285&lt;$E$4/Formeln!$M$20),B285+1,IF(AND(Formeln!$I$11=1,B285&lt;$E$4*Formeln!$M$20),B285+1,"xxx"))</f>
        <v>xxx</v>
      </c>
      <c r="C286" s="139" t="str">
        <f t="shared" si="8"/>
        <v>xxx</v>
      </c>
      <c r="D286" s="139" t="str">
        <f t="shared" si="9"/>
        <v>xxx</v>
      </c>
      <c r="E286" s="139" t="str">
        <f>IF(D286="xxx","xxx",IF(AND($E$8=1,Eingabe!$C$7="S"),(C286+D286)*$E$3/Formeln!$L$20,IF(AND($E$8=1,Eingabe!$C$7="K"),(C286-D286)*$E$3/Formeln!$L$20,C286*$E$3/Formeln!$L$20)))</f>
        <v>xxx</v>
      </c>
      <c r="F286" s="139">
        <f>IF(Eingabe!$C$7="K",C286-D286+E286,SUM(C286:E286))</f>
        <v>0</v>
      </c>
    </row>
    <row r="287" spans="2:6" x14ac:dyDescent="0.25">
      <c r="B287" s="138" t="str">
        <f>IF(AND(Formeln!$I$11=2,B286&lt;$E$4/Formeln!$M$20),B286+1,IF(AND(Formeln!$I$11=1,B286&lt;$E$4*Formeln!$M$20),B286+1,"xxx"))</f>
        <v>xxx</v>
      </c>
      <c r="C287" s="139" t="str">
        <f t="shared" si="8"/>
        <v>xxx</v>
      </c>
      <c r="D287" s="139" t="str">
        <f t="shared" si="9"/>
        <v>xxx</v>
      </c>
      <c r="E287" s="139" t="str">
        <f>IF(D287="xxx","xxx",IF(AND($E$8=1,Eingabe!$C$7="S"),(C287+D287)*$E$3/Formeln!$L$20,IF(AND($E$8=1,Eingabe!$C$7="K"),(C287-D287)*$E$3/Formeln!$L$20,C287*$E$3/Formeln!$L$20)))</f>
        <v>xxx</v>
      </c>
      <c r="F287" s="139">
        <f>IF(Eingabe!$C$7="K",C287-D287+E287,SUM(C287:E287))</f>
        <v>0</v>
      </c>
    </row>
    <row r="288" spans="2:6" x14ac:dyDescent="0.25">
      <c r="B288" s="138" t="str">
        <f>IF(AND(Formeln!$I$11=2,B287&lt;$E$4/Formeln!$M$20),B287+1,IF(AND(Formeln!$I$11=1,B287&lt;$E$4*Formeln!$M$20),B287+1,"xxx"))</f>
        <v>xxx</v>
      </c>
      <c r="C288" s="139" t="str">
        <f t="shared" si="8"/>
        <v>xxx</v>
      </c>
      <c r="D288" s="139" t="str">
        <f t="shared" si="9"/>
        <v>xxx</v>
      </c>
      <c r="E288" s="139" t="str">
        <f>IF(D288="xxx","xxx",IF(AND($E$8=1,Eingabe!$C$7="S"),(C288+D288)*$E$3/Formeln!$L$20,IF(AND($E$8=1,Eingabe!$C$7="K"),(C288-D288)*$E$3/Formeln!$L$20,C288*$E$3/Formeln!$L$20)))</f>
        <v>xxx</v>
      </c>
      <c r="F288" s="139">
        <f>IF(Eingabe!$C$7="K",C288-D288+E288,SUM(C288:E288))</f>
        <v>0</v>
      </c>
    </row>
    <row r="289" spans="2:6" x14ac:dyDescent="0.25">
      <c r="B289" s="138" t="str">
        <f>IF(AND(Formeln!$I$11=2,B288&lt;$E$4/Formeln!$M$20),B288+1,IF(AND(Formeln!$I$11=1,B288&lt;$E$4*Formeln!$M$20),B288+1,"xxx"))</f>
        <v>xxx</v>
      </c>
      <c r="C289" s="139" t="str">
        <f t="shared" si="8"/>
        <v>xxx</v>
      </c>
      <c r="D289" s="139" t="str">
        <f t="shared" si="9"/>
        <v>xxx</v>
      </c>
      <c r="E289" s="139" t="str">
        <f>IF(D289="xxx","xxx",IF(AND($E$8=1,Eingabe!$C$7="S"),(C289+D289)*$E$3/Formeln!$L$20,IF(AND($E$8=1,Eingabe!$C$7="K"),(C289-D289)*$E$3/Formeln!$L$20,C289*$E$3/Formeln!$L$20)))</f>
        <v>xxx</v>
      </c>
      <c r="F289" s="139">
        <f>IF(Eingabe!$C$7="K",C289-D289+E289,SUM(C289:E289))</f>
        <v>0</v>
      </c>
    </row>
    <row r="290" spans="2:6" x14ac:dyDescent="0.25">
      <c r="B290" s="138" t="str">
        <f>IF(AND(Formeln!$I$11=2,B289&lt;$E$4/Formeln!$M$20),B289+1,IF(AND(Formeln!$I$11=1,B289&lt;$E$4*Formeln!$M$20),B289+1,"xxx"))</f>
        <v>xxx</v>
      </c>
      <c r="C290" s="139" t="str">
        <f t="shared" si="8"/>
        <v>xxx</v>
      </c>
      <c r="D290" s="139" t="str">
        <f t="shared" si="9"/>
        <v>xxx</v>
      </c>
      <c r="E290" s="139" t="str">
        <f>IF(D290="xxx","xxx",IF(AND($E$8=1,Eingabe!$C$7="S"),(C290+D290)*$E$3/Formeln!$L$20,IF(AND($E$8=1,Eingabe!$C$7="K"),(C290-D290)*$E$3/Formeln!$L$20,C290*$E$3/Formeln!$L$20)))</f>
        <v>xxx</v>
      </c>
      <c r="F290" s="139">
        <f>IF(Eingabe!$C$7="K",C290-D290+E290,SUM(C290:E290))</f>
        <v>0</v>
      </c>
    </row>
    <row r="291" spans="2:6" x14ac:dyDescent="0.25">
      <c r="B291" s="138" t="str">
        <f>IF(AND(Formeln!$I$11=2,B290&lt;$E$4/Formeln!$M$20),B290+1,IF(AND(Formeln!$I$11=1,B290&lt;$E$4*Formeln!$M$20),B290+1,"xxx"))</f>
        <v>xxx</v>
      </c>
      <c r="C291" s="139" t="str">
        <f t="shared" si="8"/>
        <v>xxx</v>
      </c>
      <c r="D291" s="139" t="str">
        <f t="shared" si="9"/>
        <v>xxx</v>
      </c>
      <c r="E291" s="139" t="str">
        <f>IF(D291="xxx","xxx",IF(AND($E$8=1,Eingabe!$C$7="S"),(C291+D291)*$E$3/Formeln!$L$20,IF(AND($E$8=1,Eingabe!$C$7="K"),(C291-D291)*$E$3/Formeln!$L$20,C291*$E$3/Formeln!$L$20)))</f>
        <v>xxx</v>
      </c>
      <c r="F291" s="139">
        <f>IF(Eingabe!$C$7="K",C291-D291+E291,SUM(C291:E291))</f>
        <v>0</v>
      </c>
    </row>
    <row r="292" spans="2:6" x14ac:dyDescent="0.25">
      <c r="B292" s="138" t="str">
        <f>IF(AND(Formeln!$I$11=2,B291&lt;$E$4/Formeln!$M$20),B291+1,IF(AND(Formeln!$I$11=1,B291&lt;$E$4*Formeln!$M$20),B291+1,"xxx"))</f>
        <v>xxx</v>
      </c>
      <c r="C292" s="139" t="str">
        <f t="shared" si="8"/>
        <v>xxx</v>
      </c>
      <c r="D292" s="139" t="str">
        <f t="shared" si="9"/>
        <v>xxx</v>
      </c>
      <c r="E292" s="139" t="str">
        <f>IF(D292="xxx","xxx",IF(AND($E$8=1,Eingabe!$C$7="S"),(C292+D292)*$E$3/Formeln!$L$20,IF(AND($E$8=1,Eingabe!$C$7="K"),(C292-D292)*$E$3/Formeln!$L$20,C292*$E$3/Formeln!$L$20)))</f>
        <v>xxx</v>
      </c>
      <c r="F292" s="139">
        <f>IF(Eingabe!$C$7="K",C292-D292+E292,SUM(C292:E292))</f>
        <v>0</v>
      </c>
    </row>
    <row r="293" spans="2:6" x14ac:dyDescent="0.25">
      <c r="B293" s="138" t="str">
        <f>IF(AND(Formeln!$I$11=2,B292&lt;$E$4/Formeln!$M$20),B292+1,IF(AND(Formeln!$I$11=1,B292&lt;$E$4*Formeln!$M$20),B292+1,"xxx"))</f>
        <v>xxx</v>
      </c>
      <c r="C293" s="139" t="str">
        <f t="shared" si="8"/>
        <v>xxx</v>
      </c>
      <c r="D293" s="139" t="str">
        <f t="shared" si="9"/>
        <v>xxx</v>
      </c>
      <c r="E293" s="139" t="str">
        <f>IF(D293="xxx","xxx",IF(AND($E$8=1,Eingabe!$C$7="S"),(C293+D293)*$E$3/Formeln!$L$20,IF(AND($E$8=1,Eingabe!$C$7="K"),(C293-D293)*$E$3/Formeln!$L$20,C293*$E$3/Formeln!$L$20)))</f>
        <v>xxx</v>
      </c>
      <c r="F293" s="139">
        <f>IF(Eingabe!$C$7="K",C293-D293+E293,SUM(C293:E293))</f>
        <v>0</v>
      </c>
    </row>
    <row r="294" spans="2:6" x14ac:dyDescent="0.25">
      <c r="B294" s="138" t="str">
        <f>IF(AND(Formeln!$I$11=2,B293&lt;$E$4/Formeln!$M$20),B293+1,IF(AND(Formeln!$I$11=1,B293&lt;$E$4*Formeln!$M$20),B293+1,"xxx"))</f>
        <v>xxx</v>
      </c>
      <c r="C294" s="139" t="str">
        <f t="shared" si="8"/>
        <v>xxx</v>
      </c>
      <c r="D294" s="139" t="str">
        <f t="shared" si="9"/>
        <v>xxx</v>
      </c>
      <c r="E294" s="139" t="str">
        <f>IF(D294="xxx","xxx",IF(AND($E$8=1,Eingabe!$C$7="S"),(C294+D294)*$E$3/Formeln!$L$20,IF(AND($E$8=1,Eingabe!$C$7="K"),(C294-D294)*$E$3/Formeln!$L$20,C294*$E$3/Formeln!$L$20)))</f>
        <v>xxx</v>
      </c>
      <c r="F294" s="139">
        <f>IF(Eingabe!$C$7="K",C294-D294+E294,SUM(C294:E294))</f>
        <v>0</v>
      </c>
    </row>
    <row r="295" spans="2:6" x14ac:dyDescent="0.25">
      <c r="B295" s="138" t="str">
        <f>IF(AND(Formeln!$I$11=2,B294&lt;$E$4/Formeln!$M$20),B294+1,IF(AND(Formeln!$I$11=1,B294&lt;$E$4*Formeln!$M$20),B294+1,"xxx"))</f>
        <v>xxx</v>
      </c>
      <c r="C295" s="139" t="str">
        <f t="shared" si="8"/>
        <v>xxx</v>
      </c>
      <c r="D295" s="139" t="str">
        <f t="shared" si="9"/>
        <v>xxx</v>
      </c>
      <c r="E295" s="139" t="str">
        <f>IF(D295="xxx","xxx",IF(AND($E$8=1,Eingabe!$C$7="S"),(C295+D295)*$E$3/Formeln!$L$20,IF(AND($E$8=1,Eingabe!$C$7="K"),(C295-D295)*$E$3/Formeln!$L$20,C295*$E$3/Formeln!$L$20)))</f>
        <v>xxx</v>
      </c>
      <c r="F295" s="139">
        <f>IF(Eingabe!$C$7="K",C295-D295+E295,SUM(C295:E295))</f>
        <v>0</v>
      </c>
    </row>
    <row r="296" spans="2:6" x14ac:dyDescent="0.25">
      <c r="B296" s="138" t="str">
        <f>IF(AND(Formeln!$I$11=2,B295&lt;$E$4/Formeln!$M$20),B295+1,IF(AND(Formeln!$I$11=1,B295&lt;$E$4*Formeln!$M$20),B295+1,"xxx"))</f>
        <v>xxx</v>
      </c>
      <c r="C296" s="139" t="str">
        <f t="shared" si="8"/>
        <v>xxx</v>
      </c>
      <c r="D296" s="139" t="str">
        <f t="shared" si="9"/>
        <v>xxx</v>
      </c>
      <c r="E296" s="139" t="str">
        <f>IF(D296="xxx","xxx",IF(AND($E$8=1,Eingabe!$C$7="S"),(C296+D296)*$E$3/Formeln!$L$20,IF(AND($E$8=1,Eingabe!$C$7="K"),(C296-D296)*$E$3/Formeln!$L$20,C296*$E$3/Formeln!$L$20)))</f>
        <v>xxx</v>
      </c>
      <c r="F296" s="139">
        <f>IF(Eingabe!$C$7="K",C296-D296+E296,SUM(C296:E296))</f>
        <v>0</v>
      </c>
    </row>
    <row r="297" spans="2:6" x14ac:dyDescent="0.25">
      <c r="B297" s="138" t="str">
        <f>IF(AND(Formeln!$I$11=2,B296&lt;$E$4/Formeln!$M$20),B296+1,IF(AND(Formeln!$I$11=1,B296&lt;$E$4*Formeln!$M$20),B296+1,"xxx"))</f>
        <v>xxx</v>
      </c>
      <c r="C297" s="139" t="str">
        <f t="shared" si="8"/>
        <v>xxx</v>
      </c>
      <c r="D297" s="139" t="str">
        <f t="shared" si="9"/>
        <v>xxx</v>
      </c>
      <c r="E297" s="139" t="str">
        <f>IF(D297="xxx","xxx",IF(AND($E$8=1,Eingabe!$C$7="S"),(C297+D297)*$E$3/Formeln!$L$20,IF(AND($E$8=1,Eingabe!$C$7="K"),(C297-D297)*$E$3/Formeln!$L$20,C297*$E$3/Formeln!$L$20)))</f>
        <v>xxx</v>
      </c>
      <c r="F297" s="139">
        <f>IF(Eingabe!$C$7="K",C297-D297+E297,SUM(C297:E297))</f>
        <v>0</v>
      </c>
    </row>
    <row r="298" spans="2:6" x14ac:dyDescent="0.25">
      <c r="B298" s="138" t="str">
        <f>IF(AND(Formeln!$I$11=2,B297&lt;$E$4/Formeln!$M$20),B297+1,IF(AND(Formeln!$I$11=1,B297&lt;$E$4*Formeln!$M$20),B297+1,"xxx"))</f>
        <v>xxx</v>
      </c>
      <c r="C298" s="139" t="str">
        <f t="shared" si="8"/>
        <v>xxx</v>
      </c>
      <c r="D298" s="139" t="str">
        <f t="shared" si="9"/>
        <v>xxx</v>
      </c>
      <c r="E298" s="139" t="str">
        <f>IF(D298="xxx","xxx",IF(AND($E$8=1,Eingabe!$C$7="S"),(C298+D298)*$E$3/Formeln!$L$20,IF(AND($E$8=1,Eingabe!$C$7="K"),(C298-D298)*$E$3/Formeln!$L$20,C298*$E$3/Formeln!$L$20)))</f>
        <v>xxx</v>
      </c>
      <c r="F298" s="139">
        <f>IF(Eingabe!$C$7="K",C298-D298+E298,SUM(C298:E298))</f>
        <v>0</v>
      </c>
    </row>
    <row r="299" spans="2:6" x14ac:dyDescent="0.25">
      <c r="B299" s="138" t="str">
        <f>IF(AND(Formeln!$I$11=2,B298&lt;$E$4/Formeln!$M$20),B298+1,IF(AND(Formeln!$I$11=1,B298&lt;$E$4*Formeln!$M$20),B298+1,"xxx"))</f>
        <v>xxx</v>
      </c>
      <c r="C299" s="139" t="str">
        <f t="shared" si="8"/>
        <v>xxx</v>
      </c>
      <c r="D299" s="139" t="str">
        <f t="shared" si="9"/>
        <v>xxx</v>
      </c>
      <c r="E299" s="139" t="str">
        <f>IF(D299="xxx","xxx",IF(AND($E$8=1,Eingabe!$C$7="S"),(C299+D299)*$E$3/Formeln!$L$20,IF(AND($E$8=1,Eingabe!$C$7="K"),(C299-D299)*$E$3/Formeln!$L$20,C299*$E$3/Formeln!$L$20)))</f>
        <v>xxx</v>
      </c>
      <c r="F299" s="139">
        <f>IF(Eingabe!$C$7="K",C299-D299+E299,SUM(C299:E299))</f>
        <v>0</v>
      </c>
    </row>
    <row r="300" spans="2:6" x14ac:dyDescent="0.25">
      <c r="B300" s="138" t="str">
        <f>IF(AND(Formeln!$I$11=2,B299&lt;$E$4/Formeln!$M$20),B299+1,IF(AND(Formeln!$I$11=1,B299&lt;$E$4*Formeln!$M$20),B299+1,"xxx"))</f>
        <v>xxx</v>
      </c>
      <c r="C300" s="139" t="str">
        <f t="shared" si="8"/>
        <v>xxx</v>
      </c>
      <c r="D300" s="139" t="str">
        <f t="shared" si="9"/>
        <v>xxx</v>
      </c>
      <c r="E300" s="139" t="str">
        <f>IF(D300="xxx","xxx",IF(AND($E$8=1,Eingabe!$C$7="S"),(C300+D300)*$E$3/Formeln!$L$20,IF(AND($E$8=1,Eingabe!$C$7="K"),(C300-D300)*$E$3/Formeln!$L$20,C300*$E$3/Formeln!$L$20)))</f>
        <v>xxx</v>
      </c>
      <c r="F300" s="139">
        <f>IF(Eingabe!$C$7="K",C300-D300+E300,SUM(C300:E300))</f>
        <v>0</v>
      </c>
    </row>
    <row r="301" spans="2:6" x14ac:dyDescent="0.25">
      <c r="B301" s="138" t="str">
        <f>IF(AND(Formeln!$I$11=2,B300&lt;$E$4/Formeln!$M$20),B300+1,IF(AND(Formeln!$I$11=1,B300&lt;$E$4*Formeln!$M$20),B300+1,"xxx"))</f>
        <v>xxx</v>
      </c>
      <c r="C301" s="139" t="str">
        <f t="shared" si="8"/>
        <v>xxx</v>
      </c>
      <c r="D301" s="139" t="str">
        <f t="shared" si="9"/>
        <v>xxx</v>
      </c>
      <c r="E301" s="139" t="str">
        <f>IF(D301="xxx","xxx",IF(AND($E$8=1,Eingabe!$C$7="S"),(C301+D301)*$E$3/Formeln!$L$20,IF(AND($E$8=1,Eingabe!$C$7="K"),(C301-D301)*$E$3/Formeln!$L$20,C301*$E$3/Formeln!$L$20)))</f>
        <v>xxx</v>
      </c>
      <c r="F301" s="139">
        <f>IF(Eingabe!$C$7="K",C301-D301+E301,SUM(C301:E301))</f>
        <v>0</v>
      </c>
    </row>
    <row r="302" spans="2:6" x14ac:dyDescent="0.25">
      <c r="B302" s="138" t="str">
        <f>IF(AND(Formeln!$I$11=2,B301&lt;$E$4/Formeln!$M$20),B301+1,IF(AND(Formeln!$I$11=1,B301&lt;$E$4*Formeln!$M$20),B301+1,"xxx"))</f>
        <v>xxx</v>
      </c>
      <c r="C302" s="139" t="str">
        <f t="shared" si="8"/>
        <v>xxx</v>
      </c>
      <c r="D302" s="139" t="str">
        <f t="shared" si="9"/>
        <v>xxx</v>
      </c>
      <c r="E302" s="139" t="str">
        <f>IF(D302="xxx","xxx",IF(AND($E$8=1,Eingabe!$C$7="S"),(C302+D302)*$E$3/Formeln!$L$20,IF(AND($E$8=1,Eingabe!$C$7="K"),(C302-D302)*$E$3/Formeln!$L$20,C302*$E$3/Formeln!$L$20)))</f>
        <v>xxx</v>
      </c>
      <c r="F302" s="139">
        <f>IF(Eingabe!$C$7="K",C302-D302+E302,SUM(C302:E302))</f>
        <v>0</v>
      </c>
    </row>
    <row r="303" spans="2:6" x14ac:dyDescent="0.25">
      <c r="B303" s="138" t="str">
        <f>IF(AND(Formeln!$I$11=2,B302&lt;$E$4/Formeln!$M$20),B302+1,IF(AND(Formeln!$I$11=1,B302&lt;$E$4*Formeln!$M$20),B302+1,"xxx"))</f>
        <v>xxx</v>
      </c>
      <c r="C303" s="139" t="str">
        <f t="shared" si="8"/>
        <v>xxx</v>
      </c>
      <c r="D303" s="139" t="str">
        <f t="shared" si="9"/>
        <v>xxx</v>
      </c>
      <c r="E303" s="139" t="str">
        <f>IF(D303="xxx","xxx",IF(AND($E$8=1,Eingabe!$C$7="S"),(C303+D303)*$E$3/Formeln!$L$20,IF(AND($E$8=1,Eingabe!$C$7="K"),(C303-D303)*$E$3/Formeln!$L$20,C303*$E$3/Formeln!$L$20)))</f>
        <v>xxx</v>
      </c>
      <c r="F303" s="139">
        <f>IF(Eingabe!$C$7="K",C303-D303+E303,SUM(C303:E303))</f>
        <v>0</v>
      </c>
    </row>
    <row r="304" spans="2:6" x14ac:dyDescent="0.25">
      <c r="B304" s="138" t="str">
        <f>IF(AND(Formeln!$I$11=2,B303&lt;$E$4/Formeln!$M$20),B303+1,IF(AND(Formeln!$I$11=1,B303&lt;$E$4*Formeln!$M$20),B303+1,"xxx"))</f>
        <v>xxx</v>
      </c>
      <c r="C304" s="139" t="str">
        <f t="shared" si="8"/>
        <v>xxx</v>
      </c>
      <c r="D304" s="139" t="str">
        <f t="shared" si="9"/>
        <v>xxx</v>
      </c>
      <c r="E304" s="139" t="str">
        <f>IF(D304="xxx","xxx",IF(AND($E$8=1,Eingabe!$C$7="S"),(C304+D304)*$E$3/Formeln!$L$20,IF(AND($E$8=1,Eingabe!$C$7="K"),(C304-D304)*$E$3/Formeln!$L$20,C304*$E$3/Formeln!$L$20)))</f>
        <v>xxx</v>
      </c>
      <c r="F304" s="139">
        <f>IF(Eingabe!$C$7="K",C304-D304+E304,SUM(C304:E304))</f>
        <v>0</v>
      </c>
    </row>
    <row r="305" spans="2:6" x14ac:dyDescent="0.25">
      <c r="B305" s="138" t="str">
        <f>IF(AND(Formeln!$I$11=2,B304&lt;$E$4/Formeln!$M$20),B304+1,IF(AND(Formeln!$I$11=1,B304&lt;$E$4*Formeln!$M$20),B304+1,"xxx"))</f>
        <v>xxx</v>
      </c>
      <c r="C305" s="139" t="str">
        <f t="shared" si="8"/>
        <v>xxx</v>
      </c>
      <c r="D305" s="139" t="str">
        <f t="shared" si="9"/>
        <v>xxx</v>
      </c>
      <c r="E305" s="139" t="str">
        <f>IF(D305="xxx","xxx",IF(AND($E$8=1,Eingabe!$C$7="S"),(C305+D305)*$E$3/Formeln!$L$20,IF(AND($E$8=1,Eingabe!$C$7="K"),(C305-D305)*$E$3/Formeln!$L$20,C305*$E$3/Formeln!$L$20)))</f>
        <v>xxx</v>
      </c>
      <c r="F305" s="139">
        <f>IF(Eingabe!$C$7="K",C305-D305+E305,SUM(C305:E305))</f>
        <v>0</v>
      </c>
    </row>
    <row r="306" spans="2:6" x14ac:dyDescent="0.25">
      <c r="B306" s="138" t="str">
        <f>IF(AND(Formeln!$I$11=2,B305&lt;$E$4/Formeln!$M$20),B305+1,IF(AND(Formeln!$I$11=1,B305&lt;$E$4*Formeln!$M$20),B305+1,"xxx"))</f>
        <v>xxx</v>
      </c>
      <c r="C306" s="139" t="str">
        <f t="shared" si="8"/>
        <v>xxx</v>
      </c>
      <c r="D306" s="139" t="str">
        <f t="shared" si="9"/>
        <v>xxx</v>
      </c>
      <c r="E306" s="139" t="str">
        <f>IF(D306="xxx","xxx",IF(AND($E$8=1,Eingabe!$C$7="S"),(C306+D306)*$E$3/Formeln!$L$20,IF(AND($E$8=1,Eingabe!$C$7="K"),(C306-D306)*$E$3/Formeln!$L$20,C306*$E$3/Formeln!$L$20)))</f>
        <v>xxx</v>
      </c>
      <c r="F306" s="139">
        <f>IF(Eingabe!$C$7="K",C306-D306+E306,SUM(C306:E306))</f>
        <v>0</v>
      </c>
    </row>
    <row r="307" spans="2:6" x14ac:dyDescent="0.25">
      <c r="B307" s="138" t="str">
        <f>IF(AND(Formeln!$I$11=2,B306&lt;$E$4/Formeln!$M$20),B306+1,IF(AND(Formeln!$I$11=1,B306&lt;$E$4*Formeln!$M$20),B306+1,"xxx"))</f>
        <v>xxx</v>
      </c>
      <c r="C307" s="139" t="str">
        <f t="shared" si="8"/>
        <v>xxx</v>
      </c>
      <c r="D307" s="139" t="str">
        <f t="shared" si="9"/>
        <v>xxx</v>
      </c>
      <c r="E307" s="139" t="str">
        <f>IF(D307="xxx","xxx",IF(AND($E$8=1,Eingabe!$C$7="S"),(C307+D307)*$E$3/Formeln!$L$20,IF(AND($E$8=1,Eingabe!$C$7="K"),(C307-D307)*$E$3/Formeln!$L$20,C307*$E$3/Formeln!$L$20)))</f>
        <v>xxx</v>
      </c>
      <c r="F307" s="139">
        <f>IF(Eingabe!$C$7="K",C307-D307+E307,SUM(C307:E307))</f>
        <v>0</v>
      </c>
    </row>
    <row r="308" spans="2:6" x14ac:dyDescent="0.25">
      <c r="B308" s="138" t="str">
        <f>IF(AND(Formeln!$I$11=2,B307&lt;$E$4/Formeln!$M$20),B307+1,IF(AND(Formeln!$I$11=1,B307&lt;$E$4*Formeln!$M$20),B307+1,"xxx"))</f>
        <v>xxx</v>
      </c>
      <c r="C308" s="139" t="str">
        <f t="shared" si="8"/>
        <v>xxx</v>
      </c>
      <c r="D308" s="139" t="str">
        <f t="shared" si="9"/>
        <v>xxx</v>
      </c>
      <c r="E308" s="139" t="str">
        <f>IF(D308="xxx","xxx",IF(AND($E$8=1,Eingabe!$C$7="S"),(C308+D308)*$E$3/Formeln!$L$20,IF(AND($E$8=1,Eingabe!$C$7="K"),(C308-D308)*$E$3/Formeln!$L$20,C308*$E$3/Formeln!$L$20)))</f>
        <v>xxx</v>
      </c>
      <c r="F308" s="139">
        <f>IF(Eingabe!$C$7="K",C308-D308+E308,SUM(C308:E308))</f>
        <v>0</v>
      </c>
    </row>
    <row r="309" spans="2:6" x14ac:dyDescent="0.25">
      <c r="B309" s="138" t="str">
        <f>IF(AND(Formeln!$I$11=2,B308&lt;$E$4/Formeln!$M$20),B308+1,IF(AND(Formeln!$I$11=1,B308&lt;$E$4*Formeln!$M$20),B308+1,"xxx"))</f>
        <v>xxx</v>
      </c>
      <c r="C309" s="139" t="str">
        <f t="shared" si="8"/>
        <v>xxx</v>
      </c>
      <c r="D309" s="139" t="str">
        <f t="shared" si="9"/>
        <v>xxx</v>
      </c>
      <c r="E309" s="139" t="str">
        <f>IF(D309="xxx","xxx",IF(AND($E$8=1,Eingabe!$C$7="S"),(C309+D309)*$E$3/Formeln!$L$20,IF(AND($E$8=1,Eingabe!$C$7="K"),(C309-D309)*$E$3/Formeln!$L$20,C309*$E$3/Formeln!$L$20)))</f>
        <v>xxx</v>
      </c>
      <c r="F309" s="139">
        <f>IF(Eingabe!$C$7="K",C309-D309+E309,SUM(C309:E309))</f>
        <v>0</v>
      </c>
    </row>
    <row r="310" spans="2:6" x14ac:dyDescent="0.25">
      <c r="B310" s="138" t="str">
        <f>IF(AND(Formeln!$I$11=2,B309&lt;$E$4/Formeln!$M$20),B309+1,IF(AND(Formeln!$I$11=1,B309&lt;$E$4*Formeln!$M$20),B309+1,"xxx"))</f>
        <v>xxx</v>
      </c>
      <c r="C310" s="139" t="str">
        <f t="shared" si="8"/>
        <v>xxx</v>
      </c>
      <c r="D310" s="139" t="str">
        <f t="shared" si="9"/>
        <v>xxx</v>
      </c>
      <c r="E310" s="139" t="str">
        <f>IF(D310="xxx","xxx",IF(AND($E$8=1,Eingabe!$C$7="S"),(C310+D310)*$E$3/Formeln!$L$20,IF(AND($E$8=1,Eingabe!$C$7="K"),(C310-D310)*$E$3/Formeln!$L$20,C310*$E$3/Formeln!$L$20)))</f>
        <v>xxx</v>
      </c>
      <c r="F310" s="139">
        <f>IF(Eingabe!$C$7="K",C310-D310+E310,SUM(C310:E310))</f>
        <v>0</v>
      </c>
    </row>
    <row r="311" spans="2:6" x14ac:dyDescent="0.25">
      <c r="B311" s="138" t="str">
        <f>IF(AND(Formeln!$I$11=2,B310&lt;$E$4/Formeln!$M$20),B310+1,IF(AND(Formeln!$I$11=1,B310&lt;$E$4*Formeln!$M$20),B310+1,"xxx"))</f>
        <v>xxx</v>
      </c>
      <c r="C311" s="139" t="str">
        <f t="shared" si="8"/>
        <v>xxx</v>
      </c>
      <c r="D311" s="139" t="str">
        <f t="shared" si="9"/>
        <v>xxx</v>
      </c>
      <c r="E311" s="139" t="str">
        <f>IF(D311="xxx","xxx",IF(AND($E$8=1,Eingabe!$C$7="S"),(C311+D311)*$E$3/Formeln!$L$20,IF(AND($E$8=1,Eingabe!$C$7="K"),(C311-D311)*$E$3/Formeln!$L$20,C311*$E$3/Formeln!$L$20)))</f>
        <v>xxx</v>
      </c>
      <c r="F311" s="139">
        <f>IF(Eingabe!$C$7="K",C311-D311+E311,SUM(C311:E311))</f>
        <v>0</v>
      </c>
    </row>
    <row r="312" spans="2:6" x14ac:dyDescent="0.25">
      <c r="B312" s="138" t="str">
        <f>IF(AND(Formeln!$I$11=2,B311&lt;$E$4/Formeln!$M$20),B311+1,IF(AND(Formeln!$I$11=1,B311&lt;$E$4*Formeln!$M$20),B311+1,"xxx"))</f>
        <v>xxx</v>
      </c>
      <c r="C312" s="139" t="str">
        <f t="shared" si="8"/>
        <v>xxx</v>
      </c>
      <c r="D312" s="139" t="str">
        <f t="shared" si="9"/>
        <v>xxx</v>
      </c>
      <c r="E312" s="139" t="str">
        <f>IF(D312="xxx","xxx",IF(AND($E$8=1,Eingabe!$C$7="S"),(C312+D312)*$E$3/Formeln!$L$20,IF(AND($E$8=1,Eingabe!$C$7="K"),(C312-D312)*$E$3/Formeln!$L$20,C312*$E$3/Formeln!$L$20)))</f>
        <v>xxx</v>
      </c>
      <c r="F312" s="139">
        <f>IF(Eingabe!$C$7="K",C312-D312+E312,SUM(C312:E312))</f>
        <v>0</v>
      </c>
    </row>
    <row r="313" spans="2:6" x14ac:dyDescent="0.25">
      <c r="B313" s="138" t="str">
        <f>IF(AND(Formeln!$I$11=2,B312&lt;$E$4/Formeln!$M$20),B312+1,IF(AND(Formeln!$I$11=1,B312&lt;$E$4*Formeln!$M$20),B312+1,"xxx"))</f>
        <v>xxx</v>
      </c>
      <c r="C313" s="139" t="str">
        <f t="shared" si="8"/>
        <v>xxx</v>
      </c>
      <c r="D313" s="139" t="str">
        <f t="shared" si="9"/>
        <v>xxx</v>
      </c>
      <c r="E313" s="139" t="str">
        <f>IF(D313="xxx","xxx",IF(AND($E$8=1,Eingabe!$C$7="S"),(C313+D313)*$E$3/Formeln!$L$20,IF(AND($E$8=1,Eingabe!$C$7="K"),(C313-D313)*$E$3/Formeln!$L$20,C313*$E$3/Formeln!$L$20)))</f>
        <v>xxx</v>
      </c>
      <c r="F313" s="139">
        <f>IF(Eingabe!$C$7="K",C313-D313+E313,SUM(C313:E313))</f>
        <v>0</v>
      </c>
    </row>
    <row r="314" spans="2:6" x14ac:dyDescent="0.25">
      <c r="B314" s="138" t="str">
        <f>IF(AND(Formeln!$I$11=2,B313&lt;$E$4/Formeln!$M$20),B313+1,IF(AND(Formeln!$I$11=1,B313&lt;$E$4*Formeln!$M$20),B313+1,"xxx"))</f>
        <v>xxx</v>
      </c>
      <c r="C314" s="139" t="str">
        <f t="shared" si="8"/>
        <v>xxx</v>
      </c>
      <c r="D314" s="139" t="str">
        <f t="shared" si="9"/>
        <v>xxx</v>
      </c>
      <c r="E314" s="139" t="str">
        <f>IF(D314="xxx","xxx",IF(AND($E$8=1,Eingabe!$C$7="S"),(C314+D314)*$E$3/Formeln!$L$20,IF(AND($E$8=1,Eingabe!$C$7="K"),(C314-D314)*$E$3/Formeln!$L$20,C314*$E$3/Formeln!$L$20)))</f>
        <v>xxx</v>
      </c>
      <c r="F314" s="139">
        <f>IF(Eingabe!$C$7="K",C314-D314+E314,SUM(C314:E314))</f>
        <v>0</v>
      </c>
    </row>
    <row r="315" spans="2:6" x14ac:dyDescent="0.25">
      <c r="B315" s="138" t="str">
        <f>IF(AND(Formeln!$I$11=2,B314&lt;$E$4/Formeln!$M$20),B314+1,IF(AND(Formeln!$I$11=1,B314&lt;$E$4*Formeln!$M$20),B314+1,"xxx"))</f>
        <v>xxx</v>
      </c>
      <c r="C315" s="139" t="str">
        <f t="shared" si="8"/>
        <v>xxx</v>
      </c>
      <c r="D315" s="139" t="str">
        <f t="shared" si="9"/>
        <v>xxx</v>
      </c>
      <c r="E315" s="139" t="str">
        <f>IF(D315="xxx","xxx",IF(AND($E$8=1,Eingabe!$C$7="S"),(C315+D315)*$E$3/Formeln!$L$20,IF(AND($E$8=1,Eingabe!$C$7="K"),(C315-D315)*$E$3/Formeln!$L$20,C315*$E$3/Formeln!$L$20)))</f>
        <v>xxx</v>
      </c>
      <c r="F315" s="139">
        <f>IF(Eingabe!$C$7="K",C315-D315+E315,SUM(C315:E315))</f>
        <v>0</v>
      </c>
    </row>
    <row r="316" spans="2:6" x14ac:dyDescent="0.25">
      <c r="B316" s="138" t="str">
        <f>IF(AND(Formeln!$I$11=2,B315&lt;$E$4/Formeln!$M$20),B315+1,IF(AND(Formeln!$I$11=1,B315&lt;$E$4*Formeln!$M$20),B315+1,"xxx"))</f>
        <v>xxx</v>
      </c>
      <c r="C316" s="139" t="str">
        <f t="shared" si="8"/>
        <v>xxx</v>
      </c>
      <c r="D316" s="139" t="str">
        <f t="shared" si="9"/>
        <v>xxx</v>
      </c>
      <c r="E316" s="139" t="str">
        <f>IF(D316="xxx","xxx",IF(AND($E$8=1,Eingabe!$C$7="S"),(C316+D316)*$E$3/Formeln!$L$20,IF(AND($E$8=1,Eingabe!$C$7="K"),(C316-D316)*$E$3/Formeln!$L$20,C316*$E$3/Formeln!$L$20)))</f>
        <v>xxx</v>
      </c>
      <c r="F316" s="139">
        <f>IF(Eingabe!$C$7="K",C316-D316+E316,SUM(C316:E316))</f>
        <v>0</v>
      </c>
    </row>
    <row r="317" spans="2:6" x14ac:dyDescent="0.25">
      <c r="B317" s="138" t="str">
        <f>IF(AND(Formeln!$I$11=2,B316&lt;$E$4/Formeln!$M$20),B316+1,IF(AND(Formeln!$I$11=1,B316&lt;$E$4*Formeln!$M$20),B316+1,"xxx"))</f>
        <v>xxx</v>
      </c>
      <c r="C317" s="139" t="str">
        <f t="shared" si="8"/>
        <v>xxx</v>
      </c>
      <c r="D317" s="139" t="str">
        <f t="shared" si="9"/>
        <v>xxx</v>
      </c>
      <c r="E317" s="139" t="str">
        <f>IF(D317="xxx","xxx",IF(AND($E$8=1,Eingabe!$C$7="S"),(C317+D317)*$E$3/Formeln!$L$20,IF(AND($E$8=1,Eingabe!$C$7="K"),(C317-D317)*$E$3/Formeln!$L$20,C317*$E$3/Formeln!$L$20)))</f>
        <v>xxx</v>
      </c>
      <c r="F317" s="139">
        <f>IF(Eingabe!$C$7="K",C317-D317+E317,SUM(C317:E317))</f>
        <v>0</v>
      </c>
    </row>
    <row r="318" spans="2:6" x14ac:dyDescent="0.25">
      <c r="B318" s="138" t="str">
        <f>IF(AND(Formeln!$I$11=2,B317&lt;$E$4/Formeln!$M$20),B317+1,IF(AND(Formeln!$I$11=1,B317&lt;$E$4*Formeln!$M$20),B317+1,"xxx"))</f>
        <v>xxx</v>
      </c>
      <c r="C318" s="139" t="str">
        <f t="shared" si="8"/>
        <v>xxx</v>
      </c>
      <c r="D318" s="139" t="str">
        <f t="shared" si="9"/>
        <v>xxx</v>
      </c>
      <c r="E318" s="139" t="str">
        <f>IF(D318="xxx","xxx",IF(AND($E$8=1,Eingabe!$C$7="S"),(C318+D318)*$E$3/Formeln!$L$20,IF(AND($E$8=1,Eingabe!$C$7="K"),(C318-D318)*$E$3/Formeln!$L$20,C318*$E$3/Formeln!$L$20)))</f>
        <v>xxx</v>
      </c>
      <c r="F318" s="139">
        <f>IF(Eingabe!$C$7="K",C318-D318+E318,SUM(C318:E318))</f>
        <v>0</v>
      </c>
    </row>
    <row r="319" spans="2:6" x14ac:dyDescent="0.25">
      <c r="B319" s="138" t="str">
        <f>IF(AND(Formeln!$I$11=2,B318&lt;$E$4/Formeln!$M$20),B318+1,IF(AND(Formeln!$I$11=1,B318&lt;$E$4*Formeln!$M$20),B318+1,"xxx"))</f>
        <v>xxx</v>
      </c>
      <c r="C319" s="139" t="str">
        <f t="shared" si="8"/>
        <v>xxx</v>
      </c>
      <c r="D319" s="139" t="str">
        <f t="shared" si="9"/>
        <v>xxx</v>
      </c>
      <c r="E319" s="139" t="str">
        <f>IF(D319="xxx","xxx",IF(AND($E$8=1,Eingabe!$C$7="S"),(C319+D319)*$E$3/Formeln!$L$20,IF(AND($E$8=1,Eingabe!$C$7="K"),(C319-D319)*$E$3/Formeln!$L$20,C319*$E$3/Formeln!$L$20)))</f>
        <v>xxx</v>
      </c>
      <c r="F319" s="139">
        <f>IF(Eingabe!$C$7="K",C319-D319+E319,SUM(C319:E319))</f>
        <v>0</v>
      </c>
    </row>
    <row r="320" spans="2:6" x14ac:dyDescent="0.25">
      <c r="B320" s="138" t="str">
        <f>IF(AND(Formeln!$I$11=2,B319&lt;$E$4/Formeln!$M$20),B319+1,IF(AND(Formeln!$I$11=1,B319&lt;$E$4*Formeln!$M$20),B319+1,"xxx"))</f>
        <v>xxx</v>
      </c>
      <c r="C320" s="139" t="str">
        <f t="shared" si="8"/>
        <v>xxx</v>
      </c>
      <c r="D320" s="139" t="str">
        <f t="shared" si="9"/>
        <v>xxx</v>
      </c>
      <c r="E320" s="139" t="str">
        <f>IF(D320="xxx","xxx",IF(AND($E$8=1,Eingabe!$C$7="S"),(C320+D320)*$E$3/Formeln!$L$20,IF(AND($E$8=1,Eingabe!$C$7="K"),(C320-D320)*$E$3/Formeln!$L$20,C320*$E$3/Formeln!$L$20)))</f>
        <v>xxx</v>
      </c>
      <c r="F320" s="139">
        <f>IF(Eingabe!$C$7="K",C320-D320+E320,SUM(C320:E320))</f>
        <v>0</v>
      </c>
    </row>
    <row r="321" spans="2:6" x14ac:dyDescent="0.25">
      <c r="B321" s="138" t="str">
        <f>IF(AND(Formeln!$I$11=2,B320&lt;$E$4/Formeln!$M$20),B320+1,IF(AND(Formeln!$I$11=1,B320&lt;$E$4*Formeln!$M$20),B320+1,"xxx"))</f>
        <v>xxx</v>
      </c>
      <c r="C321" s="139" t="str">
        <f t="shared" si="8"/>
        <v>xxx</v>
      </c>
      <c r="D321" s="139" t="str">
        <f t="shared" si="9"/>
        <v>xxx</v>
      </c>
      <c r="E321" s="139" t="str">
        <f>IF(D321="xxx","xxx",IF(AND($E$8=1,Eingabe!$C$7="S"),(C321+D321)*$E$3/Formeln!$L$20,IF(AND($E$8=1,Eingabe!$C$7="K"),(C321-D321)*$E$3/Formeln!$L$20,C321*$E$3/Formeln!$L$20)))</f>
        <v>xxx</v>
      </c>
      <c r="F321" s="139">
        <f>IF(Eingabe!$C$7="K",C321-D321+E321,SUM(C321:E321))</f>
        <v>0</v>
      </c>
    </row>
    <row r="322" spans="2:6" x14ac:dyDescent="0.25">
      <c r="B322" s="138" t="str">
        <f>IF(AND(Formeln!$I$11=2,B321&lt;$E$4/Formeln!$M$20),B321+1,IF(AND(Formeln!$I$11=1,B321&lt;$E$4*Formeln!$M$20),B321+1,"xxx"))</f>
        <v>xxx</v>
      </c>
      <c r="C322" s="139" t="str">
        <f t="shared" si="8"/>
        <v>xxx</v>
      </c>
      <c r="D322" s="139" t="str">
        <f t="shared" si="9"/>
        <v>xxx</v>
      </c>
      <c r="E322" s="139" t="str">
        <f>IF(D322="xxx","xxx",IF(AND($E$8=1,Eingabe!$C$7="S"),(C322+D322)*$E$3/Formeln!$L$20,IF(AND($E$8=1,Eingabe!$C$7="K"),(C322-D322)*$E$3/Formeln!$L$20,C322*$E$3/Formeln!$L$20)))</f>
        <v>xxx</v>
      </c>
      <c r="F322" s="139">
        <f>IF(Eingabe!$C$7="K",C322-D322+E322,SUM(C322:E322))</f>
        <v>0</v>
      </c>
    </row>
    <row r="323" spans="2:6" x14ac:dyDescent="0.25">
      <c r="B323" s="138" t="str">
        <f>IF(AND(Formeln!$I$11=2,B322&lt;$E$4/Formeln!$M$20),B322+1,IF(AND(Formeln!$I$11=1,B322&lt;$E$4*Formeln!$M$20),B322+1,"xxx"))</f>
        <v>xxx</v>
      </c>
      <c r="C323" s="139" t="str">
        <f t="shared" si="8"/>
        <v>xxx</v>
      </c>
      <c r="D323" s="139" t="str">
        <f t="shared" si="9"/>
        <v>xxx</v>
      </c>
      <c r="E323" s="139" t="str">
        <f>IF(D323="xxx","xxx",IF(AND($E$8=1,Eingabe!$C$7="S"),(C323+D323)*$E$3/Formeln!$L$20,IF(AND($E$8=1,Eingabe!$C$7="K"),(C323-D323)*$E$3/Formeln!$L$20,C323*$E$3/Formeln!$L$20)))</f>
        <v>xxx</v>
      </c>
      <c r="F323" s="139">
        <f>IF(Eingabe!$C$7="K",C323-D323+E323,SUM(C323:E323))</f>
        <v>0</v>
      </c>
    </row>
    <row r="324" spans="2:6" x14ac:dyDescent="0.25">
      <c r="B324" s="138" t="str">
        <f>IF(AND(Formeln!$I$11=2,B323&lt;$E$4/Formeln!$M$20),B323+1,IF(AND(Formeln!$I$11=1,B323&lt;$E$4*Formeln!$M$20),B323+1,"xxx"))</f>
        <v>xxx</v>
      </c>
      <c r="C324" s="139" t="str">
        <f t="shared" si="8"/>
        <v>xxx</v>
      </c>
      <c r="D324" s="139" t="str">
        <f t="shared" si="9"/>
        <v>xxx</v>
      </c>
      <c r="E324" s="139" t="str">
        <f>IF(D324="xxx","xxx",IF(AND($E$8=1,Eingabe!$C$7="S"),(C324+D324)*$E$3/Formeln!$L$20,IF(AND($E$8=1,Eingabe!$C$7="K"),(C324-D324)*$E$3/Formeln!$L$20,C324*$E$3/Formeln!$L$20)))</f>
        <v>xxx</v>
      </c>
      <c r="F324" s="139">
        <f>IF(Eingabe!$C$7="K",C324-D324+E324,SUM(C324:E324))</f>
        <v>0</v>
      </c>
    </row>
    <row r="325" spans="2:6" x14ac:dyDescent="0.25">
      <c r="B325" s="138" t="str">
        <f>IF(AND(Formeln!$I$11=2,B324&lt;$E$4/Formeln!$M$20),B324+1,IF(AND(Formeln!$I$11=1,B324&lt;$E$4*Formeln!$M$20),B324+1,"xxx"))</f>
        <v>xxx</v>
      </c>
      <c r="C325" s="139" t="str">
        <f t="shared" si="8"/>
        <v>xxx</v>
      </c>
      <c r="D325" s="139" t="str">
        <f t="shared" si="9"/>
        <v>xxx</v>
      </c>
      <c r="E325" s="139" t="str">
        <f>IF(D325="xxx","xxx",IF(AND($E$8=1,Eingabe!$C$7="S"),(C325+D325)*$E$3/Formeln!$L$20,IF(AND($E$8=1,Eingabe!$C$7="K"),(C325-D325)*$E$3/Formeln!$L$20,C325*$E$3/Formeln!$L$20)))</f>
        <v>xxx</v>
      </c>
      <c r="F325" s="139">
        <f>IF(Eingabe!$C$7="K",C325-D325+E325,SUM(C325:E325))</f>
        <v>0</v>
      </c>
    </row>
    <row r="326" spans="2:6" x14ac:dyDescent="0.25">
      <c r="B326" s="138" t="str">
        <f>IF(AND(Formeln!$I$11=2,B325&lt;$E$4/Formeln!$M$20),B325+1,IF(AND(Formeln!$I$11=1,B325&lt;$E$4*Formeln!$M$20),B325+1,"xxx"))</f>
        <v>xxx</v>
      </c>
      <c r="C326" s="139" t="str">
        <f t="shared" si="8"/>
        <v>xxx</v>
      </c>
      <c r="D326" s="139" t="str">
        <f t="shared" si="9"/>
        <v>xxx</v>
      </c>
      <c r="E326" s="139" t="str">
        <f>IF(D326="xxx","xxx",IF(AND($E$8=1,Eingabe!$C$7="S"),(C326+D326)*$E$3/Formeln!$L$20,IF(AND($E$8=1,Eingabe!$C$7="K"),(C326-D326)*$E$3/Formeln!$L$20,C326*$E$3/Formeln!$L$20)))</f>
        <v>xxx</v>
      </c>
      <c r="F326" s="139">
        <f>IF(Eingabe!$C$7="K",C326-D326+E326,SUM(C326:E326))</f>
        <v>0</v>
      </c>
    </row>
    <row r="327" spans="2:6" x14ac:dyDescent="0.25">
      <c r="B327" s="138" t="str">
        <f>IF(AND(Formeln!$I$11=2,B326&lt;$E$4/Formeln!$M$20),B326+1,IF(AND(Formeln!$I$11=1,B326&lt;$E$4*Formeln!$M$20),B326+1,"xxx"))</f>
        <v>xxx</v>
      </c>
      <c r="C327" s="139" t="str">
        <f t="shared" si="8"/>
        <v>xxx</v>
      </c>
      <c r="D327" s="139" t="str">
        <f t="shared" si="9"/>
        <v>xxx</v>
      </c>
      <c r="E327" s="139" t="str">
        <f>IF(D327="xxx","xxx",IF(AND($E$8=1,Eingabe!$C$7="S"),(C327+D327)*$E$3/Formeln!$L$20,IF(AND($E$8=1,Eingabe!$C$7="K"),(C327-D327)*$E$3/Formeln!$L$20,C327*$E$3/Formeln!$L$20)))</f>
        <v>xxx</v>
      </c>
      <c r="F327" s="139">
        <f>IF(Eingabe!$C$7="K",C327-D327+E327,SUM(C327:E327))</f>
        <v>0</v>
      </c>
    </row>
    <row r="328" spans="2:6" x14ac:dyDescent="0.25">
      <c r="B328" s="138" t="str">
        <f>IF(AND(Formeln!$I$11=2,B327&lt;$E$4/Formeln!$M$20),B327+1,IF(AND(Formeln!$I$11=1,B327&lt;$E$4*Formeln!$M$20),B327+1,"xxx"))</f>
        <v>xxx</v>
      </c>
      <c r="C328" s="139" t="str">
        <f t="shared" si="8"/>
        <v>xxx</v>
      </c>
      <c r="D328" s="139" t="str">
        <f t="shared" si="9"/>
        <v>xxx</v>
      </c>
      <c r="E328" s="139" t="str">
        <f>IF(D328="xxx","xxx",IF(AND($E$8=1,Eingabe!$C$7="S"),(C328+D328)*$E$3/Formeln!$L$20,IF(AND($E$8=1,Eingabe!$C$7="K"),(C328-D328)*$E$3/Formeln!$L$20,C328*$E$3/Formeln!$L$20)))</f>
        <v>xxx</v>
      </c>
      <c r="F328" s="139">
        <f>IF(Eingabe!$C$7="K",C328-D328+E328,SUM(C328:E328))</f>
        <v>0</v>
      </c>
    </row>
    <row r="329" spans="2:6" x14ac:dyDescent="0.25">
      <c r="B329" s="138" t="str">
        <f>IF(AND(Formeln!$I$11=2,B328&lt;$E$4/Formeln!$M$20),B328+1,IF(AND(Formeln!$I$11=1,B328&lt;$E$4*Formeln!$M$20),B328+1,"xxx"))</f>
        <v>xxx</v>
      </c>
      <c r="C329" s="139" t="str">
        <f t="shared" si="8"/>
        <v>xxx</v>
      </c>
      <c r="D329" s="139" t="str">
        <f t="shared" si="9"/>
        <v>xxx</v>
      </c>
      <c r="E329" s="139" t="str">
        <f>IF(D329="xxx","xxx",IF(AND($E$8=1,Eingabe!$C$7="S"),(C329+D329)*$E$3/Formeln!$L$20,IF(AND($E$8=1,Eingabe!$C$7="K"),(C329-D329)*$E$3/Formeln!$L$20,C329*$E$3/Formeln!$L$20)))</f>
        <v>xxx</v>
      </c>
      <c r="F329" s="139">
        <f>IF(Eingabe!$C$7="K",C329-D329+E329,SUM(C329:E329))</f>
        <v>0</v>
      </c>
    </row>
    <row r="330" spans="2:6" x14ac:dyDescent="0.25">
      <c r="B330" s="138" t="str">
        <f>IF(AND(Formeln!$I$11=2,B329&lt;$E$4/Formeln!$M$20),B329+1,IF(AND(Formeln!$I$11=1,B329&lt;$E$4*Formeln!$M$20),B329+1,"xxx"))</f>
        <v>xxx</v>
      </c>
      <c r="C330" s="139" t="str">
        <f t="shared" si="8"/>
        <v>xxx</v>
      </c>
      <c r="D330" s="139" t="str">
        <f t="shared" si="9"/>
        <v>xxx</v>
      </c>
      <c r="E330" s="139" t="str">
        <f>IF(D330="xxx","xxx",IF(AND($E$8=1,Eingabe!$C$7="S"),(C330+D330)*$E$3/Formeln!$L$20,IF(AND($E$8=1,Eingabe!$C$7="K"),(C330-D330)*$E$3/Formeln!$L$20,C330*$E$3/Formeln!$L$20)))</f>
        <v>xxx</v>
      </c>
      <c r="F330" s="139">
        <f>IF(Eingabe!$C$7="K",C330-D330+E330,SUM(C330:E330))</f>
        <v>0</v>
      </c>
    </row>
    <row r="331" spans="2:6" x14ac:dyDescent="0.25">
      <c r="B331" s="138" t="str">
        <f>IF(AND(Formeln!$I$11=2,B330&lt;$E$4/Formeln!$M$20),B330+1,IF(AND(Formeln!$I$11=1,B330&lt;$E$4*Formeln!$M$20),B330+1,"xxx"))</f>
        <v>xxx</v>
      </c>
      <c r="C331" s="139" t="str">
        <f t="shared" si="8"/>
        <v>xxx</v>
      </c>
      <c r="D331" s="139" t="str">
        <f t="shared" si="9"/>
        <v>xxx</v>
      </c>
      <c r="E331" s="139" t="str">
        <f>IF(D331="xxx","xxx",IF(AND($E$8=1,Eingabe!$C$7="S"),(C331+D331)*$E$3/Formeln!$L$20,IF(AND($E$8=1,Eingabe!$C$7="K"),(C331-D331)*$E$3/Formeln!$L$20,C331*$E$3/Formeln!$L$20)))</f>
        <v>xxx</v>
      </c>
      <c r="F331" s="139">
        <f>IF(Eingabe!$C$7="K",C331-D331+E331,SUM(C331:E331))</f>
        <v>0</v>
      </c>
    </row>
    <row r="332" spans="2:6" x14ac:dyDescent="0.25">
      <c r="B332" s="138" t="str">
        <f>IF(AND(Formeln!$I$11=2,B331&lt;$E$4/Formeln!$M$20),B331+1,IF(AND(Formeln!$I$11=1,B331&lt;$E$4*Formeln!$M$20),B331+1,"xxx"))</f>
        <v>xxx</v>
      </c>
      <c r="C332" s="139" t="str">
        <f t="shared" si="8"/>
        <v>xxx</v>
      </c>
      <c r="D332" s="139" t="str">
        <f t="shared" si="9"/>
        <v>xxx</v>
      </c>
      <c r="E332" s="139" t="str">
        <f>IF(D332="xxx","xxx",IF(AND($E$8=1,Eingabe!$C$7="S"),(C332+D332)*$E$3/Formeln!$L$20,IF(AND($E$8=1,Eingabe!$C$7="K"),(C332-D332)*$E$3/Formeln!$L$20,C332*$E$3/Formeln!$L$20)))</f>
        <v>xxx</v>
      </c>
      <c r="F332" s="139">
        <f>IF(Eingabe!$C$7="K",C332-D332+E332,SUM(C332:E332))</f>
        <v>0</v>
      </c>
    </row>
    <row r="333" spans="2:6" x14ac:dyDescent="0.25">
      <c r="B333" s="138" t="str">
        <f>IF(AND(Formeln!$I$11=2,B332&lt;$E$4/Formeln!$M$20),B332+1,IF(AND(Formeln!$I$11=1,B332&lt;$E$4*Formeln!$M$20),B332+1,"xxx"))</f>
        <v>xxx</v>
      </c>
      <c r="C333" s="139" t="str">
        <f t="shared" ref="C333:C396" si="10">IF(B333="xxx","xxx",F332)</f>
        <v>xxx</v>
      </c>
      <c r="D333" s="139" t="str">
        <f t="shared" ref="D333:D396" si="11">IF(C333="xxx","xxx",D332)</f>
        <v>xxx</v>
      </c>
      <c r="E333" s="139" t="str">
        <f>IF(D333="xxx","xxx",IF(AND($E$8=1,Eingabe!$C$7="S"),(C333+D333)*$E$3/Formeln!$L$20,IF(AND($E$8=1,Eingabe!$C$7="K"),(C333-D333)*$E$3/Formeln!$L$20,C333*$E$3/Formeln!$L$20)))</f>
        <v>xxx</v>
      </c>
      <c r="F333" s="139">
        <f>IF(Eingabe!$C$7="K",C333-D333+E333,SUM(C333:E333))</f>
        <v>0</v>
      </c>
    </row>
    <row r="334" spans="2:6" x14ac:dyDescent="0.25">
      <c r="B334" s="138" t="str">
        <f>IF(AND(Formeln!$I$11=2,B333&lt;$E$4/Formeln!$M$20),B333+1,IF(AND(Formeln!$I$11=1,B333&lt;$E$4*Formeln!$M$20),B333+1,"xxx"))</f>
        <v>xxx</v>
      </c>
      <c r="C334" s="139" t="str">
        <f t="shared" si="10"/>
        <v>xxx</v>
      </c>
      <c r="D334" s="139" t="str">
        <f t="shared" si="11"/>
        <v>xxx</v>
      </c>
      <c r="E334" s="139" t="str">
        <f>IF(D334="xxx","xxx",IF(AND($E$8=1,Eingabe!$C$7="S"),(C334+D334)*$E$3/Formeln!$L$20,IF(AND($E$8=1,Eingabe!$C$7="K"),(C334-D334)*$E$3/Formeln!$L$20,C334*$E$3/Formeln!$L$20)))</f>
        <v>xxx</v>
      </c>
      <c r="F334" s="139">
        <f>IF(Eingabe!$C$7="K",C334-D334+E334,SUM(C334:E334))</f>
        <v>0</v>
      </c>
    </row>
    <row r="335" spans="2:6" x14ac:dyDescent="0.25">
      <c r="B335" s="138" t="str">
        <f>IF(AND(Formeln!$I$11=2,B334&lt;$E$4/Formeln!$M$20),B334+1,IF(AND(Formeln!$I$11=1,B334&lt;$E$4*Formeln!$M$20),B334+1,"xxx"))</f>
        <v>xxx</v>
      </c>
      <c r="C335" s="139" t="str">
        <f t="shared" si="10"/>
        <v>xxx</v>
      </c>
      <c r="D335" s="139" t="str">
        <f t="shared" si="11"/>
        <v>xxx</v>
      </c>
      <c r="E335" s="139" t="str">
        <f>IF(D335="xxx","xxx",IF(AND($E$8=1,Eingabe!$C$7="S"),(C335+D335)*$E$3/Formeln!$L$20,IF(AND($E$8=1,Eingabe!$C$7="K"),(C335-D335)*$E$3/Formeln!$L$20,C335*$E$3/Formeln!$L$20)))</f>
        <v>xxx</v>
      </c>
      <c r="F335" s="139">
        <f>IF(Eingabe!$C$7="K",C335-D335+E335,SUM(C335:E335))</f>
        <v>0</v>
      </c>
    </row>
    <row r="336" spans="2:6" x14ac:dyDescent="0.25">
      <c r="B336" s="138" t="str">
        <f>IF(AND(Formeln!$I$11=2,B335&lt;$E$4/Formeln!$M$20),B335+1,IF(AND(Formeln!$I$11=1,B335&lt;$E$4*Formeln!$M$20),B335+1,"xxx"))</f>
        <v>xxx</v>
      </c>
      <c r="C336" s="139" t="str">
        <f t="shared" si="10"/>
        <v>xxx</v>
      </c>
      <c r="D336" s="139" t="str">
        <f t="shared" si="11"/>
        <v>xxx</v>
      </c>
      <c r="E336" s="139" t="str">
        <f>IF(D336="xxx","xxx",IF(AND($E$8=1,Eingabe!$C$7="S"),(C336+D336)*$E$3/Formeln!$L$20,IF(AND($E$8=1,Eingabe!$C$7="K"),(C336-D336)*$E$3/Formeln!$L$20,C336*$E$3/Formeln!$L$20)))</f>
        <v>xxx</v>
      </c>
      <c r="F336" s="139">
        <f>IF(Eingabe!$C$7="K",C336-D336+E336,SUM(C336:E336))</f>
        <v>0</v>
      </c>
    </row>
    <row r="337" spans="2:6" x14ac:dyDescent="0.25">
      <c r="B337" s="138" t="str">
        <f>IF(AND(Formeln!$I$11=2,B336&lt;$E$4/Formeln!$M$20),B336+1,IF(AND(Formeln!$I$11=1,B336&lt;$E$4*Formeln!$M$20),B336+1,"xxx"))</f>
        <v>xxx</v>
      </c>
      <c r="C337" s="139" t="str">
        <f t="shared" si="10"/>
        <v>xxx</v>
      </c>
      <c r="D337" s="139" t="str">
        <f t="shared" si="11"/>
        <v>xxx</v>
      </c>
      <c r="E337" s="139" t="str">
        <f>IF(D337="xxx","xxx",IF(AND($E$8=1,Eingabe!$C$7="S"),(C337+D337)*$E$3/Formeln!$L$20,IF(AND($E$8=1,Eingabe!$C$7="K"),(C337-D337)*$E$3/Formeln!$L$20,C337*$E$3/Formeln!$L$20)))</f>
        <v>xxx</v>
      </c>
      <c r="F337" s="139">
        <f>IF(Eingabe!$C$7="K",C337-D337+E337,SUM(C337:E337))</f>
        <v>0</v>
      </c>
    </row>
    <row r="338" spans="2:6" x14ac:dyDescent="0.25">
      <c r="B338" s="138" t="str">
        <f>IF(AND(Formeln!$I$11=2,B337&lt;$E$4/Formeln!$M$20),B337+1,IF(AND(Formeln!$I$11=1,B337&lt;$E$4*Formeln!$M$20),B337+1,"xxx"))</f>
        <v>xxx</v>
      </c>
      <c r="C338" s="139" t="str">
        <f t="shared" si="10"/>
        <v>xxx</v>
      </c>
      <c r="D338" s="139" t="str">
        <f t="shared" si="11"/>
        <v>xxx</v>
      </c>
      <c r="E338" s="139" t="str">
        <f>IF(D338="xxx","xxx",IF(AND($E$8=1,Eingabe!$C$7="S"),(C338+D338)*$E$3/Formeln!$L$20,IF(AND($E$8=1,Eingabe!$C$7="K"),(C338-D338)*$E$3/Formeln!$L$20,C338*$E$3/Formeln!$L$20)))</f>
        <v>xxx</v>
      </c>
      <c r="F338" s="139">
        <f>IF(Eingabe!$C$7="K",C338-D338+E338,SUM(C338:E338))</f>
        <v>0</v>
      </c>
    </row>
    <row r="339" spans="2:6" x14ac:dyDescent="0.25">
      <c r="B339" s="138" t="str">
        <f>IF(AND(Formeln!$I$11=2,B338&lt;$E$4/Formeln!$M$20),B338+1,IF(AND(Formeln!$I$11=1,B338&lt;$E$4*Formeln!$M$20),B338+1,"xxx"))</f>
        <v>xxx</v>
      </c>
      <c r="C339" s="139" t="str">
        <f t="shared" si="10"/>
        <v>xxx</v>
      </c>
      <c r="D339" s="139" t="str">
        <f t="shared" si="11"/>
        <v>xxx</v>
      </c>
      <c r="E339" s="139" t="str">
        <f>IF(D339="xxx","xxx",IF(AND($E$8=1,Eingabe!$C$7="S"),(C339+D339)*$E$3/Formeln!$L$20,IF(AND($E$8=1,Eingabe!$C$7="K"),(C339-D339)*$E$3/Formeln!$L$20,C339*$E$3/Formeln!$L$20)))</f>
        <v>xxx</v>
      </c>
      <c r="F339" s="139">
        <f>IF(Eingabe!$C$7="K",C339-D339+E339,SUM(C339:E339))</f>
        <v>0</v>
      </c>
    </row>
    <row r="340" spans="2:6" x14ac:dyDescent="0.25">
      <c r="B340" s="138" t="str">
        <f>IF(AND(Formeln!$I$11=2,B339&lt;$E$4/Formeln!$M$20),B339+1,IF(AND(Formeln!$I$11=1,B339&lt;$E$4*Formeln!$M$20),B339+1,"xxx"))</f>
        <v>xxx</v>
      </c>
      <c r="C340" s="139" t="str">
        <f t="shared" si="10"/>
        <v>xxx</v>
      </c>
      <c r="D340" s="139" t="str">
        <f t="shared" si="11"/>
        <v>xxx</v>
      </c>
      <c r="E340" s="139" t="str">
        <f>IF(D340="xxx","xxx",IF(AND($E$8=1,Eingabe!$C$7="S"),(C340+D340)*$E$3/Formeln!$L$20,IF(AND($E$8=1,Eingabe!$C$7="K"),(C340-D340)*$E$3/Formeln!$L$20,C340*$E$3/Formeln!$L$20)))</f>
        <v>xxx</v>
      </c>
      <c r="F340" s="139">
        <f>IF(Eingabe!$C$7="K",C340-D340+E340,SUM(C340:E340))</f>
        <v>0</v>
      </c>
    </row>
    <row r="341" spans="2:6" x14ac:dyDescent="0.25">
      <c r="B341" s="138" t="str">
        <f>IF(AND(Formeln!$I$11=2,B340&lt;$E$4/Formeln!$M$20),B340+1,IF(AND(Formeln!$I$11=1,B340&lt;$E$4*Formeln!$M$20),B340+1,"xxx"))</f>
        <v>xxx</v>
      </c>
      <c r="C341" s="139" t="str">
        <f t="shared" si="10"/>
        <v>xxx</v>
      </c>
      <c r="D341" s="139" t="str">
        <f t="shared" si="11"/>
        <v>xxx</v>
      </c>
      <c r="E341" s="139" t="str">
        <f>IF(D341="xxx","xxx",IF(AND($E$8=1,Eingabe!$C$7="S"),(C341+D341)*$E$3/Formeln!$L$20,IF(AND($E$8=1,Eingabe!$C$7="K"),(C341-D341)*$E$3/Formeln!$L$20,C341*$E$3/Formeln!$L$20)))</f>
        <v>xxx</v>
      </c>
      <c r="F341" s="139">
        <f>IF(Eingabe!$C$7="K",C341-D341+E341,SUM(C341:E341))</f>
        <v>0</v>
      </c>
    </row>
    <row r="342" spans="2:6" x14ac:dyDescent="0.25">
      <c r="B342" s="138" t="str">
        <f>IF(AND(Formeln!$I$11=2,B341&lt;$E$4/Formeln!$M$20),B341+1,IF(AND(Formeln!$I$11=1,B341&lt;$E$4*Formeln!$M$20),B341+1,"xxx"))</f>
        <v>xxx</v>
      </c>
      <c r="C342" s="139" t="str">
        <f t="shared" si="10"/>
        <v>xxx</v>
      </c>
      <c r="D342" s="139" t="str">
        <f t="shared" si="11"/>
        <v>xxx</v>
      </c>
      <c r="E342" s="139" t="str">
        <f>IF(D342="xxx","xxx",IF(AND($E$8=1,Eingabe!$C$7="S"),(C342+D342)*$E$3/Formeln!$L$20,IF(AND($E$8=1,Eingabe!$C$7="K"),(C342-D342)*$E$3/Formeln!$L$20,C342*$E$3/Formeln!$L$20)))</f>
        <v>xxx</v>
      </c>
      <c r="F342" s="139">
        <f>IF(Eingabe!$C$7="K",C342-D342+E342,SUM(C342:E342))</f>
        <v>0</v>
      </c>
    </row>
    <row r="343" spans="2:6" x14ac:dyDescent="0.25">
      <c r="B343" s="138" t="str">
        <f>IF(AND(Formeln!$I$11=2,B342&lt;$E$4/Formeln!$M$20),B342+1,IF(AND(Formeln!$I$11=1,B342&lt;$E$4*Formeln!$M$20),B342+1,"xxx"))</f>
        <v>xxx</v>
      </c>
      <c r="C343" s="139" t="str">
        <f t="shared" si="10"/>
        <v>xxx</v>
      </c>
      <c r="D343" s="139" t="str">
        <f t="shared" si="11"/>
        <v>xxx</v>
      </c>
      <c r="E343" s="139" t="str">
        <f>IF(D343="xxx","xxx",IF(AND($E$8=1,Eingabe!$C$7="S"),(C343+D343)*$E$3/Formeln!$L$20,IF(AND($E$8=1,Eingabe!$C$7="K"),(C343-D343)*$E$3/Formeln!$L$20,C343*$E$3/Formeln!$L$20)))</f>
        <v>xxx</v>
      </c>
      <c r="F343" s="139">
        <f>IF(Eingabe!$C$7="K",C343-D343+E343,SUM(C343:E343))</f>
        <v>0</v>
      </c>
    </row>
    <row r="344" spans="2:6" x14ac:dyDescent="0.25">
      <c r="B344" s="138" t="str">
        <f>IF(AND(Formeln!$I$11=2,B343&lt;$E$4/Formeln!$M$20),B343+1,IF(AND(Formeln!$I$11=1,B343&lt;$E$4*Formeln!$M$20),B343+1,"xxx"))</f>
        <v>xxx</v>
      </c>
      <c r="C344" s="139" t="str">
        <f t="shared" si="10"/>
        <v>xxx</v>
      </c>
      <c r="D344" s="139" t="str">
        <f t="shared" si="11"/>
        <v>xxx</v>
      </c>
      <c r="E344" s="139" t="str">
        <f>IF(D344="xxx","xxx",IF(AND($E$8=1,Eingabe!$C$7="S"),(C344+D344)*$E$3/Formeln!$L$20,IF(AND($E$8=1,Eingabe!$C$7="K"),(C344-D344)*$E$3/Formeln!$L$20,C344*$E$3/Formeln!$L$20)))</f>
        <v>xxx</v>
      </c>
      <c r="F344" s="139">
        <f>IF(Eingabe!$C$7="K",C344-D344+E344,SUM(C344:E344))</f>
        <v>0</v>
      </c>
    </row>
    <row r="345" spans="2:6" x14ac:dyDescent="0.25">
      <c r="B345" s="138" t="str">
        <f>IF(AND(Formeln!$I$11=2,B344&lt;$E$4/Formeln!$M$20),B344+1,IF(AND(Formeln!$I$11=1,B344&lt;$E$4*Formeln!$M$20),B344+1,"xxx"))</f>
        <v>xxx</v>
      </c>
      <c r="C345" s="139" t="str">
        <f t="shared" si="10"/>
        <v>xxx</v>
      </c>
      <c r="D345" s="139" t="str">
        <f t="shared" si="11"/>
        <v>xxx</v>
      </c>
      <c r="E345" s="139" t="str">
        <f>IF(D345="xxx","xxx",IF(AND($E$8=1,Eingabe!$C$7="S"),(C345+D345)*$E$3/Formeln!$L$20,IF(AND($E$8=1,Eingabe!$C$7="K"),(C345-D345)*$E$3/Formeln!$L$20,C345*$E$3/Formeln!$L$20)))</f>
        <v>xxx</v>
      </c>
      <c r="F345" s="139">
        <f>IF(Eingabe!$C$7="K",C345-D345+E345,SUM(C345:E345))</f>
        <v>0</v>
      </c>
    </row>
    <row r="346" spans="2:6" x14ac:dyDescent="0.25">
      <c r="B346" s="138" t="str">
        <f>IF(AND(Formeln!$I$11=2,B345&lt;$E$4/Formeln!$M$20),B345+1,IF(AND(Formeln!$I$11=1,B345&lt;$E$4*Formeln!$M$20),B345+1,"xxx"))</f>
        <v>xxx</v>
      </c>
      <c r="C346" s="139" t="str">
        <f t="shared" si="10"/>
        <v>xxx</v>
      </c>
      <c r="D346" s="139" t="str">
        <f t="shared" si="11"/>
        <v>xxx</v>
      </c>
      <c r="E346" s="139" t="str">
        <f>IF(D346="xxx","xxx",IF(AND($E$8=1,Eingabe!$C$7="S"),(C346+D346)*$E$3/Formeln!$L$20,IF(AND($E$8=1,Eingabe!$C$7="K"),(C346-D346)*$E$3/Formeln!$L$20,C346*$E$3/Formeln!$L$20)))</f>
        <v>xxx</v>
      </c>
      <c r="F346" s="139">
        <f>IF(Eingabe!$C$7="K",C346-D346+E346,SUM(C346:E346))</f>
        <v>0</v>
      </c>
    </row>
    <row r="347" spans="2:6" x14ac:dyDescent="0.25">
      <c r="B347" s="138" t="str">
        <f>IF(AND(Formeln!$I$11=2,B346&lt;$E$4/Formeln!$M$20),B346+1,IF(AND(Formeln!$I$11=1,B346&lt;$E$4*Formeln!$M$20),B346+1,"xxx"))</f>
        <v>xxx</v>
      </c>
      <c r="C347" s="139" t="str">
        <f t="shared" si="10"/>
        <v>xxx</v>
      </c>
      <c r="D347" s="139" t="str">
        <f t="shared" si="11"/>
        <v>xxx</v>
      </c>
      <c r="E347" s="139" t="str">
        <f>IF(D347="xxx","xxx",IF(AND($E$8=1,Eingabe!$C$7="S"),(C347+D347)*$E$3/Formeln!$L$20,IF(AND($E$8=1,Eingabe!$C$7="K"),(C347-D347)*$E$3/Formeln!$L$20,C347*$E$3/Formeln!$L$20)))</f>
        <v>xxx</v>
      </c>
      <c r="F347" s="139">
        <f>IF(Eingabe!$C$7="K",C347-D347+E347,SUM(C347:E347))</f>
        <v>0</v>
      </c>
    </row>
    <row r="348" spans="2:6" x14ac:dyDescent="0.25">
      <c r="B348" s="138" t="str">
        <f>IF(AND(Formeln!$I$11=2,B347&lt;$E$4/Formeln!$M$20),B347+1,IF(AND(Formeln!$I$11=1,B347&lt;$E$4*Formeln!$M$20),B347+1,"xxx"))</f>
        <v>xxx</v>
      </c>
      <c r="C348" s="139" t="str">
        <f t="shared" si="10"/>
        <v>xxx</v>
      </c>
      <c r="D348" s="139" t="str">
        <f t="shared" si="11"/>
        <v>xxx</v>
      </c>
      <c r="E348" s="139" t="str">
        <f>IF(D348="xxx","xxx",IF(AND($E$8=1,Eingabe!$C$7="S"),(C348+D348)*$E$3/Formeln!$L$20,IF(AND($E$8=1,Eingabe!$C$7="K"),(C348-D348)*$E$3/Formeln!$L$20,C348*$E$3/Formeln!$L$20)))</f>
        <v>xxx</v>
      </c>
      <c r="F348" s="139">
        <f>IF(Eingabe!$C$7="K",C348-D348+E348,SUM(C348:E348))</f>
        <v>0</v>
      </c>
    </row>
    <row r="349" spans="2:6" x14ac:dyDescent="0.25">
      <c r="B349" s="138" t="str">
        <f>IF(AND(Formeln!$I$11=2,B348&lt;$E$4/Formeln!$M$20),B348+1,IF(AND(Formeln!$I$11=1,B348&lt;$E$4*Formeln!$M$20),B348+1,"xxx"))</f>
        <v>xxx</v>
      </c>
      <c r="C349" s="139" t="str">
        <f t="shared" si="10"/>
        <v>xxx</v>
      </c>
      <c r="D349" s="139" t="str">
        <f t="shared" si="11"/>
        <v>xxx</v>
      </c>
      <c r="E349" s="139" t="str">
        <f>IF(D349="xxx","xxx",IF(AND($E$8=1,Eingabe!$C$7="S"),(C349+D349)*$E$3/Formeln!$L$20,IF(AND($E$8=1,Eingabe!$C$7="K"),(C349-D349)*$E$3/Formeln!$L$20,C349*$E$3/Formeln!$L$20)))</f>
        <v>xxx</v>
      </c>
      <c r="F349" s="139">
        <f>IF(Eingabe!$C$7="K",C349-D349+E349,SUM(C349:E349))</f>
        <v>0</v>
      </c>
    </row>
    <row r="350" spans="2:6" x14ac:dyDescent="0.25">
      <c r="B350" s="138" t="str">
        <f>IF(AND(Formeln!$I$11=2,B349&lt;$E$4/Formeln!$M$20),B349+1,IF(AND(Formeln!$I$11=1,B349&lt;$E$4*Formeln!$M$20),B349+1,"xxx"))</f>
        <v>xxx</v>
      </c>
      <c r="C350" s="139" t="str">
        <f t="shared" si="10"/>
        <v>xxx</v>
      </c>
      <c r="D350" s="139" t="str">
        <f t="shared" si="11"/>
        <v>xxx</v>
      </c>
      <c r="E350" s="139" t="str">
        <f>IF(D350="xxx","xxx",IF(AND($E$8=1,Eingabe!$C$7="S"),(C350+D350)*$E$3/Formeln!$L$20,IF(AND($E$8=1,Eingabe!$C$7="K"),(C350-D350)*$E$3/Formeln!$L$20,C350*$E$3/Formeln!$L$20)))</f>
        <v>xxx</v>
      </c>
      <c r="F350" s="139">
        <f>IF(Eingabe!$C$7="K",C350-D350+E350,SUM(C350:E350))</f>
        <v>0</v>
      </c>
    </row>
    <row r="351" spans="2:6" x14ac:dyDescent="0.25">
      <c r="B351" s="138" t="str">
        <f>IF(AND(Formeln!$I$11=2,B350&lt;$E$4/Formeln!$M$20),B350+1,IF(AND(Formeln!$I$11=1,B350&lt;$E$4*Formeln!$M$20),B350+1,"xxx"))</f>
        <v>xxx</v>
      </c>
      <c r="C351" s="139" t="str">
        <f t="shared" si="10"/>
        <v>xxx</v>
      </c>
      <c r="D351" s="139" t="str">
        <f t="shared" si="11"/>
        <v>xxx</v>
      </c>
      <c r="E351" s="139" t="str">
        <f>IF(D351="xxx","xxx",IF(AND($E$8=1,Eingabe!$C$7="S"),(C351+D351)*$E$3/Formeln!$L$20,IF(AND($E$8=1,Eingabe!$C$7="K"),(C351-D351)*$E$3/Formeln!$L$20,C351*$E$3/Formeln!$L$20)))</f>
        <v>xxx</v>
      </c>
      <c r="F351" s="139">
        <f>IF(Eingabe!$C$7="K",C351-D351+E351,SUM(C351:E351))</f>
        <v>0</v>
      </c>
    </row>
    <row r="352" spans="2:6" x14ac:dyDescent="0.25">
      <c r="B352" s="138" t="str">
        <f>IF(AND(Formeln!$I$11=2,B351&lt;$E$4/Formeln!$M$20),B351+1,IF(AND(Formeln!$I$11=1,B351&lt;$E$4*Formeln!$M$20),B351+1,"xxx"))</f>
        <v>xxx</v>
      </c>
      <c r="C352" s="139" t="str">
        <f t="shared" si="10"/>
        <v>xxx</v>
      </c>
      <c r="D352" s="139" t="str">
        <f t="shared" si="11"/>
        <v>xxx</v>
      </c>
      <c r="E352" s="139" t="str">
        <f>IF(D352="xxx","xxx",IF(AND($E$8=1,Eingabe!$C$7="S"),(C352+D352)*$E$3/Formeln!$L$20,IF(AND($E$8=1,Eingabe!$C$7="K"),(C352-D352)*$E$3/Formeln!$L$20,C352*$E$3/Formeln!$L$20)))</f>
        <v>xxx</v>
      </c>
      <c r="F352" s="139">
        <f>IF(Eingabe!$C$7="K",C352-D352+E352,SUM(C352:E352))</f>
        <v>0</v>
      </c>
    </row>
    <row r="353" spans="2:6" x14ac:dyDescent="0.25">
      <c r="B353" s="138" t="str">
        <f>IF(AND(Formeln!$I$11=2,B352&lt;$E$4/Formeln!$M$20),B352+1,IF(AND(Formeln!$I$11=1,B352&lt;$E$4*Formeln!$M$20),B352+1,"xxx"))</f>
        <v>xxx</v>
      </c>
      <c r="C353" s="139" t="str">
        <f t="shared" si="10"/>
        <v>xxx</v>
      </c>
      <c r="D353" s="139" t="str">
        <f t="shared" si="11"/>
        <v>xxx</v>
      </c>
      <c r="E353" s="139" t="str">
        <f>IF(D353="xxx","xxx",IF(AND($E$8=1,Eingabe!$C$7="S"),(C353+D353)*$E$3/Formeln!$L$20,IF(AND($E$8=1,Eingabe!$C$7="K"),(C353-D353)*$E$3/Formeln!$L$20,C353*$E$3/Formeln!$L$20)))</f>
        <v>xxx</v>
      </c>
      <c r="F353" s="139">
        <f>IF(Eingabe!$C$7="K",C353-D353+E353,SUM(C353:E353))</f>
        <v>0</v>
      </c>
    </row>
    <row r="354" spans="2:6" x14ac:dyDescent="0.25">
      <c r="B354" s="138" t="str">
        <f>IF(AND(Formeln!$I$11=2,B353&lt;$E$4/Formeln!$M$20),B353+1,IF(AND(Formeln!$I$11=1,B353&lt;$E$4*Formeln!$M$20),B353+1,"xxx"))</f>
        <v>xxx</v>
      </c>
      <c r="C354" s="139" t="str">
        <f t="shared" si="10"/>
        <v>xxx</v>
      </c>
      <c r="D354" s="139" t="str">
        <f t="shared" si="11"/>
        <v>xxx</v>
      </c>
      <c r="E354" s="139" t="str">
        <f>IF(D354="xxx","xxx",IF(AND($E$8=1,Eingabe!$C$7="S"),(C354+D354)*$E$3/Formeln!$L$20,IF(AND($E$8=1,Eingabe!$C$7="K"),(C354-D354)*$E$3/Formeln!$L$20,C354*$E$3/Formeln!$L$20)))</f>
        <v>xxx</v>
      </c>
      <c r="F354" s="139">
        <f>IF(Eingabe!$C$7="K",C354-D354+E354,SUM(C354:E354))</f>
        <v>0</v>
      </c>
    </row>
    <row r="355" spans="2:6" x14ac:dyDescent="0.25">
      <c r="B355" s="138" t="str">
        <f>IF(AND(Formeln!$I$11=2,B354&lt;$E$4/Formeln!$M$20),B354+1,IF(AND(Formeln!$I$11=1,B354&lt;$E$4*Formeln!$M$20),B354+1,"xxx"))</f>
        <v>xxx</v>
      </c>
      <c r="C355" s="139" t="str">
        <f t="shared" si="10"/>
        <v>xxx</v>
      </c>
      <c r="D355" s="139" t="str">
        <f t="shared" si="11"/>
        <v>xxx</v>
      </c>
      <c r="E355" s="139" t="str">
        <f>IF(D355="xxx","xxx",IF(AND($E$8=1,Eingabe!$C$7="S"),(C355+D355)*$E$3/Formeln!$L$20,IF(AND($E$8=1,Eingabe!$C$7="K"),(C355-D355)*$E$3/Formeln!$L$20,C355*$E$3/Formeln!$L$20)))</f>
        <v>xxx</v>
      </c>
      <c r="F355" s="139">
        <f>IF(Eingabe!$C$7="K",C355-D355+E355,SUM(C355:E355))</f>
        <v>0</v>
      </c>
    </row>
    <row r="356" spans="2:6" x14ac:dyDescent="0.25">
      <c r="B356" s="138" t="str">
        <f>IF(AND(Formeln!$I$11=2,B355&lt;$E$4/Formeln!$M$20),B355+1,IF(AND(Formeln!$I$11=1,B355&lt;$E$4*Formeln!$M$20),B355+1,"xxx"))</f>
        <v>xxx</v>
      </c>
      <c r="C356" s="139" t="str">
        <f t="shared" si="10"/>
        <v>xxx</v>
      </c>
      <c r="D356" s="139" t="str">
        <f t="shared" si="11"/>
        <v>xxx</v>
      </c>
      <c r="E356" s="139" t="str">
        <f>IF(D356="xxx","xxx",IF(AND($E$8=1,Eingabe!$C$7="S"),(C356+D356)*$E$3/Formeln!$L$20,IF(AND($E$8=1,Eingabe!$C$7="K"),(C356-D356)*$E$3/Formeln!$L$20,C356*$E$3/Formeln!$L$20)))</f>
        <v>xxx</v>
      </c>
      <c r="F356" s="139">
        <f>IF(Eingabe!$C$7="K",C356-D356+E356,SUM(C356:E356))</f>
        <v>0</v>
      </c>
    </row>
    <row r="357" spans="2:6" x14ac:dyDescent="0.25">
      <c r="B357" s="138" t="str">
        <f>IF(AND(Formeln!$I$11=2,B356&lt;$E$4/Formeln!$M$20),B356+1,IF(AND(Formeln!$I$11=1,B356&lt;$E$4*Formeln!$M$20),B356+1,"xxx"))</f>
        <v>xxx</v>
      </c>
      <c r="C357" s="139" t="str">
        <f t="shared" si="10"/>
        <v>xxx</v>
      </c>
      <c r="D357" s="139" t="str">
        <f t="shared" si="11"/>
        <v>xxx</v>
      </c>
      <c r="E357" s="139" t="str">
        <f>IF(D357="xxx","xxx",IF(AND($E$8=1,Eingabe!$C$7="S"),(C357+D357)*$E$3/Formeln!$L$20,IF(AND($E$8=1,Eingabe!$C$7="K"),(C357-D357)*$E$3/Formeln!$L$20,C357*$E$3/Formeln!$L$20)))</f>
        <v>xxx</v>
      </c>
      <c r="F357" s="139">
        <f>IF(Eingabe!$C$7="K",C357-D357+E357,SUM(C357:E357))</f>
        <v>0</v>
      </c>
    </row>
    <row r="358" spans="2:6" x14ac:dyDescent="0.25">
      <c r="B358" s="138" t="str">
        <f>IF(AND(Formeln!$I$11=2,B357&lt;$E$4/Formeln!$M$20),B357+1,IF(AND(Formeln!$I$11=1,B357&lt;$E$4*Formeln!$M$20),B357+1,"xxx"))</f>
        <v>xxx</v>
      </c>
      <c r="C358" s="139" t="str">
        <f t="shared" si="10"/>
        <v>xxx</v>
      </c>
      <c r="D358" s="139" t="str">
        <f t="shared" si="11"/>
        <v>xxx</v>
      </c>
      <c r="E358" s="139" t="str">
        <f>IF(D358="xxx","xxx",IF(AND($E$8=1,Eingabe!$C$7="S"),(C358+D358)*$E$3/Formeln!$L$20,IF(AND($E$8=1,Eingabe!$C$7="K"),(C358-D358)*$E$3/Formeln!$L$20,C358*$E$3/Formeln!$L$20)))</f>
        <v>xxx</v>
      </c>
      <c r="F358" s="139">
        <f>IF(Eingabe!$C$7="K",C358-D358+E358,SUM(C358:E358))</f>
        <v>0</v>
      </c>
    </row>
    <row r="359" spans="2:6" x14ac:dyDescent="0.25">
      <c r="B359" s="138" t="str">
        <f>IF(AND(Formeln!$I$11=2,B358&lt;$E$4/Formeln!$M$20),B358+1,IF(AND(Formeln!$I$11=1,B358&lt;$E$4*Formeln!$M$20),B358+1,"xxx"))</f>
        <v>xxx</v>
      </c>
      <c r="C359" s="139" t="str">
        <f t="shared" si="10"/>
        <v>xxx</v>
      </c>
      <c r="D359" s="139" t="str">
        <f t="shared" si="11"/>
        <v>xxx</v>
      </c>
      <c r="E359" s="139" t="str">
        <f>IF(D359="xxx","xxx",IF(AND($E$8=1,Eingabe!$C$7="S"),(C359+D359)*$E$3/Formeln!$L$20,IF(AND($E$8=1,Eingabe!$C$7="K"),(C359-D359)*$E$3/Formeln!$L$20,C359*$E$3/Formeln!$L$20)))</f>
        <v>xxx</v>
      </c>
      <c r="F359" s="139">
        <f>IF(Eingabe!$C$7="K",C359-D359+E359,SUM(C359:E359))</f>
        <v>0</v>
      </c>
    </row>
    <row r="360" spans="2:6" x14ac:dyDescent="0.25">
      <c r="B360" s="138" t="str">
        <f>IF(AND(Formeln!$I$11=2,B359&lt;$E$4/Formeln!$M$20),B359+1,IF(AND(Formeln!$I$11=1,B359&lt;$E$4*Formeln!$M$20),B359+1,"xxx"))</f>
        <v>xxx</v>
      </c>
      <c r="C360" s="139" t="str">
        <f t="shared" si="10"/>
        <v>xxx</v>
      </c>
      <c r="D360" s="139" t="str">
        <f t="shared" si="11"/>
        <v>xxx</v>
      </c>
      <c r="E360" s="139" t="str">
        <f>IF(D360="xxx","xxx",IF(AND($E$8=1,Eingabe!$C$7="S"),(C360+D360)*$E$3/Formeln!$L$20,IF(AND($E$8=1,Eingabe!$C$7="K"),(C360-D360)*$E$3/Formeln!$L$20,C360*$E$3/Formeln!$L$20)))</f>
        <v>xxx</v>
      </c>
      <c r="F360" s="139">
        <f>IF(Eingabe!$C$7="K",C360-D360+E360,SUM(C360:E360))</f>
        <v>0</v>
      </c>
    </row>
    <row r="361" spans="2:6" x14ac:dyDescent="0.25">
      <c r="B361" s="138" t="str">
        <f>IF(AND(Formeln!$I$11=2,B360&lt;$E$4/Formeln!$M$20),B360+1,IF(AND(Formeln!$I$11=1,B360&lt;$E$4*Formeln!$M$20),B360+1,"xxx"))</f>
        <v>xxx</v>
      </c>
      <c r="C361" s="139" t="str">
        <f t="shared" si="10"/>
        <v>xxx</v>
      </c>
      <c r="D361" s="139" t="str">
        <f t="shared" si="11"/>
        <v>xxx</v>
      </c>
      <c r="E361" s="139" t="str">
        <f>IF(D361="xxx","xxx",IF(AND($E$8=1,Eingabe!$C$7="S"),(C361+D361)*$E$3/Formeln!$L$20,IF(AND($E$8=1,Eingabe!$C$7="K"),(C361-D361)*$E$3/Formeln!$L$20,C361*$E$3/Formeln!$L$20)))</f>
        <v>xxx</v>
      </c>
      <c r="F361" s="139">
        <f>IF(Eingabe!$C$7="K",C361-D361+E361,SUM(C361:E361))</f>
        <v>0</v>
      </c>
    </row>
    <row r="362" spans="2:6" x14ac:dyDescent="0.25">
      <c r="B362" s="138" t="str">
        <f>IF(AND(Formeln!$I$11=2,B361&lt;$E$4/Formeln!$M$20),B361+1,IF(AND(Formeln!$I$11=1,B361&lt;$E$4*Formeln!$M$20),B361+1,"xxx"))</f>
        <v>xxx</v>
      </c>
      <c r="C362" s="139" t="str">
        <f t="shared" si="10"/>
        <v>xxx</v>
      </c>
      <c r="D362" s="139" t="str">
        <f t="shared" si="11"/>
        <v>xxx</v>
      </c>
      <c r="E362" s="139" t="str">
        <f>IF(D362="xxx","xxx",IF(AND($E$8=1,Eingabe!$C$7="S"),(C362+D362)*$E$3/Formeln!$L$20,IF(AND($E$8=1,Eingabe!$C$7="K"),(C362-D362)*$E$3/Formeln!$L$20,C362*$E$3/Formeln!$L$20)))</f>
        <v>xxx</v>
      </c>
      <c r="F362" s="139">
        <f>IF(Eingabe!$C$7="K",C362-D362+E362,SUM(C362:E362))</f>
        <v>0</v>
      </c>
    </row>
    <row r="363" spans="2:6" x14ac:dyDescent="0.25">
      <c r="B363" s="138" t="str">
        <f>IF(AND(Formeln!$I$11=2,B362&lt;$E$4/Formeln!$M$20),B362+1,IF(AND(Formeln!$I$11=1,B362&lt;$E$4*Formeln!$M$20),B362+1,"xxx"))</f>
        <v>xxx</v>
      </c>
      <c r="C363" s="139" t="str">
        <f t="shared" si="10"/>
        <v>xxx</v>
      </c>
      <c r="D363" s="139" t="str">
        <f t="shared" si="11"/>
        <v>xxx</v>
      </c>
      <c r="E363" s="139" t="str">
        <f>IF(D363="xxx","xxx",IF(AND($E$8=1,Eingabe!$C$7="S"),(C363+D363)*$E$3/Formeln!$L$20,IF(AND($E$8=1,Eingabe!$C$7="K"),(C363-D363)*$E$3/Formeln!$L$20,C363*$E$3/Formeln!$L$20)))</f>
        <v>xxx</v>
      </c>
      <c r="F363" s="139">
        <f>IF(Eingabe!$C$7="K",C363-D363+E363,SUM(C363:E363))</f>
        <v>0</v>
      </c>
    </row>
    <row r="364" spans="2:6" x14ac:dyDescent="0.25">
      <c r="B364" s="138" t="str">
        <f>IF(AND(Formeln!$I$11=2,B363&lt;$E$4/Formeln!$M$20),B363+1,IF(AND(Formeln!$I$11=1,B363&lt;$E$4*Formeln!$M$20),B363+1,"xxx"))</f>
        <v>xxx</v>
      </c>
      <c r="C364" s="139" t="str">
        <f t="shared" si="10"/>
        <v>xxx</v>
      </c>
      <c r="D364" s="139" t="str">
        <f t="shared" si="11"/>
        <v>xxx</v>
      </c>
      <c r="E364" s="139" t="str">
        <f>IF(D364="xxx","xxx",IF(AND($E$8=1,Eingabe!$C$7="S"),(C364+D364)*$E$3/Formeln!$L$20,IF(AND($E$8=1,Eingabe!$C$7="K"),(C364-D364)*$E$3/Formeln!$L$20,C364*$E$3/Formeln!$L$20)))</f>
        <v>xxx</v>
      </c>
      <c r="F364" s="139">
        <f>IF(Eingabe!$C$7="K",C364-D364+E364,SUM(C364:E364))</f>
        <v>0</v>
      </c>
    </row>
    <row r="365" spans="2:6" x14ac:dyDescent="0.25">
      <c r="B365" s="138" t="str">
        <f>IF(AND(Formeln!$I$11=2,B364&lt;$E$4/Formeln!$M$20),B364+1,IF(AND(Formeln!$I$11=1,B364&lt;$E$4*Formeln!$M$20),B364+1,"xxx"))</f>
        <v>xxx</v>
      </c>
      <c r="C365" s="139" t="str">
        <f t="shared" si="10"/>
        <v>xxx</v>
      </c>
      <c r="D365" s="139" t="str">
        <f t="shared" si="11"/>
        <v>xxx</v>
      </c>
      <c r="E365" s="139" t="str">
        <f>IF(D365="xxx","xxx",IF(AND($E$8=1,Eingabe!$C$7="S"),(C365+D365)*$E$3/Formeln!$L$20,IF(AND($E$8=1,Eingabe!$C$7="K"),(C365-D365)*$E$3/Formeln!$L$20,C365*$E$3/Formeln!$L$20)))</f>
        <v>xxx</v>
      </c>
      <c r="F365" s="139">
        <f>IF(Eingabe!$C$7="K",C365-D365+E365,SUM(C365:E365))</f>
        <v>0</v>
      </c>
    </row>
    <row r="366" spans="2:6" x14ac:dyDescent="0.25">
      <c r="B366" s="138" t="str">
        <f>IF(AND(Formeln!$I$11=2,B365&lt;$E$4/Formeln!$M$20),B365+1,IF(AND(Formeln!$I$11=1,B365&lt;$E$4*Formeln!$M$20),B365+1,"xxx"))</f>
        <v>xxx</v>
      </c>
      <c r="C366" s="139" t="str">
        <f t="shared" si="10"/>
        <v>xxx</v>
      </c>
      <c r="D366" s="139" t="str">
        <f t="shared" si="11"/>
        <v>xxx</v>
      </c>
      <c r="E366" s="139" t="str">
        <f>IF(D366="xxx","xxx",IF(AND($E$8=1,Eingabe!$C$7="S"),(C366+D366)*$E$3/Formeln!$L$20,IF(AND($E$8=1,Eingabe!$C$7="K"),(C366-D366)*$E$3/Formeln!$L$20,C366*$E$3/Formeln!$L$20)))</f>
        <v>xxx</v>
      </c>
      <c r="F366" s="139">
        <f>IF(Eingabe!$C$7="K",C366-D366+E366,SUM(C366:E366))</f>
        <v>0</v>
      </c>
    </row>
    <row r="367" spans="2:6" x14ac:dyDescent="0.25">
      <c r="B367" s="138" t="str">
        <f>IF(AND(Formeln!$I$11=2,B366&lt;$E$4/Formeln!$M$20),B366+1,IF(AND(Formeln!$I$11=1,B366&lt;$E$4*Formeln!$M$20),B366+1,"xxx"))</f>
        <v>xxx</v>
      </c>
      <c r="C367" s="139" t="str">
        <f t="shared" si="10"/>
        <v>xxx</v>
      </c>
      <c r="D367" s="139" t="str">
        <f t="shared" si="11"/>
        <v>xxx</v>
      </c>
      <c r="E367" s="139" t="str">
        <f>IF(D367="xxx","xxx",IF(AND($E$8=1,Eingabe!$C$7="S"),(C367+D367)*$E$3/Formeln!$L$20,IF(AND($E$8=1,Eingabe!$C$7="K"),(C367-D367)*$E$3/Formeln!$L$20,C367*$E$3/Formeln!$L$20)))</f>
        <v>xxx</v>
      </c>
      <c r="F367" s="139">
        <f>IF(Eingabe!$C$7="K",C367-D367+E367,SUM(C367:E367))</f>
        <v>0</v>
      </c>
    </row>
    <row r="368" spans="2:6" x14ac:dyDescent="0.25">
      <c r="B368" s="138" t="str">
        <f>IF(AND(Formeln!$I$11=2,B367&lt;$E$4/Formeln!$M$20),B367+1,IF(AND(Formeln!$I$11=1,B367&lt;$E$4*Formeln!$M$20),B367+1,"xxx"))</f>
        <v>xxx</v>
      </c>
      <c r="C368" s="139" t="str">
        <f t="shared" si="10"/>
        <v>xxx</v>
      </c>
      <c r="D368" s="139" t="str">
        <f t="shared" si="11"/>
        <v>xxx</v>
      </c>
      <c r="E368" s="139" t="str">
        <f>IF(D368="xxx","xxx",IF(AND($E$8=1,Eingabe!$C$7="S"),(C368+D368)*$E$3/Formeln!$L$20,IF(AND($E$8=1,Eingabe!$C$7="K"),(C368-D368)*$E$3/Formeln!$L$20,C368*$E$3/Formeln!$L$20)))</f>
        <v>xxx</v>
      </c>
      <c r="F368" s="139">
        <f>IF(Eingabe!$C$7="K",C368-D368+E368,SUM(C368:E368))</f>
        <v>0</v>
      </c>
    </row>
    <row r="369" spans="2:6" x14ac:dyDescent="0.25">
      <c r="B369" s="138" t="str">
        <f>IF(AND(Formeln!$I$11=2,B368&lt;$E$4/Formeln!$M$20),B368+1,IF(AND(Formeln!$I$11=1,B368&lt;$E$4*Formeln!$M$20),B368+1,"xxx"))</f>
        <v>xxx</v>
      </c>
      <c r="C369" s="139" t="str">
        <f t="shared" si="10"/>
        <v>xxx</v>
      </c>
      <c r="D369" s="139" t="str">
        <f t="shared" si="11"/>
        <v>xxx</v>
      </c>
      <c r="E369" s="139" t="str">
        <f>IF(D369="xxx","xxx",IF(AND($E$8=1,Eingabe!$C$7="S"),(C369+D369)*$E$3/Formeln!$L$20,IF(AND($E$8=1,Eingabe!$C$7="K"),(C369-D369)*$E$3/Formeln!$L$20,C369*$E$3/Formeln!$L$20)))</f>
        <v>xxx</v>
      </c>
      <c r="F369" s="139">
        <f>IF(Eingabe!$C$7="K",C369-D369+E369,SUM(C369:E369))</f>
        <v>0</v>
      </c>
    </row>
    <row r="370" spans="2:6" x14ac:dyDescent="0.25">
      <c r="B370" s="138" t="str">
        <f>IF(AND(Formeln!$I$11=2,B369&lt;$E$4/Formeln!$M$20),B369+1,IF(AND(Formeln!$I$11=1,B369&lt;$E$4*Formeln!$M$20),B369+1,"xxx"))</f>
        <v>xxx</v>
      </c>
      <c r="C370" s="139" t="str">
        <f t="shared" si="10"/>
        <v>xxx</v>
      </c>
      <c r="D370" s="139" t="str">
        <f t="shared" si="11"/>
        <v>xxx</v>
      </c>
      <c r="E370" s="139" t="str">
        <f>IF(D370="xxx","xxx",IF(AND($E$8=1,Eingabe!$C$7="S"),(C370+D370)*$E$3/Formeln!$L$20,IF(AND($E$8=1,Eingabe!$C$7="K"),(C370-D370)*$E$3/Formeln!$L$20,C370*$E$3/Formeln!$L$20)))</f>
        <v>xxx</v>
      </c>
      <c r="F370" s="139">
        <f>IF(Eingabe!$C$7="K",C370-D370+E370,SUM(C370:E370))</f>
        <v>0</v>
      </c>
    </row>
    <row r="371" spans="2:6" x14ac:dyDescent="0.25">
      <c r="B371" s="138" t="str">
        <f>IF(AND(Formeln!$I$11=2,B370&lt;$E$4/Formeln!$M$20),B370+1,IF(AND(Formeln!$I$11=1,B370&lt;$E$4*Formeln!$M$20),B370+1,"xxx"))</f>
        <v>xxx</v>
      </c>
      <c r="C371" s="139" t="str">
        <f t="shared" si="10"/>
        <v>xxx</v>
      </c>
      <c r="D371" s="139" t="str">
        <f t="shared" si="11"/>
        <v>xxx</v>
      </c>
      <c r="E371" s="139" t="str">
        <f>IF(D371="xxx","xxx",IF(AND($E$8=1,Eingabe!$C$7="S"),(C371+D371)*$E$3/Formeln!$L$20,IF(AND($E$8=1,Eingabe!$C$7="K"),(C371-D371)*$E$3/Formeln!$L$20,C371*$E$3/Formeln!$L$20)))</f>
        <v>xxx</v>
      </c>
      <c r="F371" s="139">
        <f>IF(Eingabe!$C$7="K",C371-D371+E371,SUM(C371:E371))</f>
        <v>0</v>
      </c>
    </row>
    <row r="372" spans="2:6" x14ac:dyDescent="0.25">
      <c r="B372" s="138" t="str">
        <f>IF(AND(Formeln!$I$11=2,B371&lt;$E$4/Formeln!$M$20),B371+1,IF(AND(Formeln!$I$11=1,B371&lt;$E$4*Formeln!$M$20),B371+1,"xxx"))</f>
        <v>xxx</v>
      </c>
      <c r="C372" s="139" t="str">
        <f t="shared" si="10"/>
        <v>xxx</v>
      </c>
      <c r="D372" s="139" t="str">
        <f t="shared" si="11"/>
        <v>xxx</v>
      </c>
      <c r="E372" s="139" t="str">
        <f>IF(D372="xxx","xxx",IF(AND($E$8=1,Eingabe!$C$7="S"),(C372+D372)*$E$3/Formeln!$L$20,IF(AND($E$8=1,Eingabe!$C$7="K"),(C372-D372)*$E$3/Formeln!$L$20,C372*$E$3/Formeln!$L$20)))</f>
        <v>xxx</v>
      </c>
      <c r="F372" s="139">
        <f>IF(Eingabe!$C$7="K",C372-D372+E372,SUM(C372:E372))</f>
        <v>0</v>
      </c>
    </row>
    <row r="373" spans="2:6" x14ac:dyDescent="0.25">
      <c r="B373" s="138" t="str">
        <f>IF(AND(Formeln!$I$11=2,B372&lt;$E$4/Formeln!$M$20),B372+1,IF(AND(Formeln!$I$11=1,B372&lt;$E$4*Formeln!$M$20),B372+1,"xxx"))</f>
        <v>xxx</v>
      </c>
      <c r="C373" s="139" t="str">
        <f t="shared" si="10"/>
        <v>xxx</v>
      </c>
      <c r="D373" s="139" t="str">
        <f t="shared" si="11"/>
        <v>xxx</v>
      </c>
      <c r="E373" s="139" t="str">
        <f>IF(D373="xxx","xxx",IF(AND($E$8=1,Eingabe!$C$7="S"),(C373+D373)*$E$3/Formeln!$L$20,IF(AND($E$8=1,Eingabe!$C$7="K"),(C373-D373)*$E$3/Formeln!$L$20,C373*$E$3/Formeln!$L$20)))</f>
        <v>xxx</v>
      </c>
      <c r="F373" s="139">
        <f>IF(Eingabe!$C$7="K",C373-D373+E373,SUM(C373:E373))</f>
        <v>0</v>
      </c>
    </row>
    <row r="374" spans="2:6" x14ac:dyDescent="0.25">
      <c r="B374" s="138" t="str">
        <f>IF(AND(Formeln!$I$11=2,B373&lt;$E$4/Formeln!$M$20),B373+1,IF(AND(Formeln!$I$11=1,B373&lt;$E$4*Formeln!$M$20),B373+1,"xxx"))</f>
        <v>xxx</v>
      </c>
      <c r="C374" s="139" t="str">
        <f t="shared" si="10"/>
        <v>xxx</v>
      </c>
      <c r="D374" s="139" t="str">
        <f t="shared" si="11"/>
        <v>xxx</v>
      </c>
      <c r="E374" s="139" t="str">
        <f>IF(D374="xxx","xxx",IF(AND($E$8=1,Eingabe!$C$7="S"),(C374+D374)*$E$3/Formeln!$L$20,IF(AND($E$8=1,Eingabe!$C$7="K"),(C374-D374)*$E$3/Formeln!$L$20,C374*$E$3/Formeln!$L$20)))</f>
        <v>xxx</v>
      </c>
      <c r="F374" s="139">
        <f>IF(Eingabe!$C$7="K",C374-D374+E374,SUM(C374:E374))</f>
        <v>0</v>
      </c>
    </row>
    <row r="375" spans="2:6" x14ac:dyDescent="0.25">
      <c r="B375" s="138" t="str">
        <f>IF(AND(Formeln!$I$11=2,B374&lt;$E$4/Formeln!$M$20),B374+1,IF(AND(Formeln!$I$11=1,B374&lt;$E$4*Formeln!$M$20),B374+1,"xxx"))</f>
        <v>xxx</v>
      </c>
      <c r="C375" s="139" t="str">
        <f t="shared" si="10"/>
        <v>xxx</v>
      </c>
      <c r="D375" s="139" t="str">
        <f t="shared" si="11"/>
        <v>xxx</v>
      </c>
      <c r="E375" s="139" t="str">
        <f>IF(D375="xxx","xxx",IF(AND($E$8=1,Eingabe!$C$7="S"),(C375+D375)*$E$3/Formeln!$L$20,IF(AND($E$8=1,Eingabe!$C$7="K"),(C375-D375)*$E$3/Formeln!$L$20,C375*$E$3/Formeln!$L$20)))</f>
        <v>xxx</v>
      </c>
      <c r="F375" s="139">
        <f>IF(Eingabe!$C$7="K",C375-D375+E375,SUM(C375:E375))</f>
        <v>0</v>
      </c>
    </row>
    <row r="376" spans="2:6" x14ac:dyDescent="0.25">
      <c r="B376" s="138" t="str">
        <f>IF(AND(Formeln!$I$11=2,B375&lt;$E$4/Formeln!$M$20),B375+1,IF(AND(Formeln!$I$11=1,B375&lt;$E$4*Formeln!$M$20),B375+1,"xxx"))</f>
        <v>xxx</v>
      </c>
      <c r="C376" s="139" t="str">
        <f t="shared" si="10"/>
        <v>xxx</v>
      </c>
      <c r="D376" s="139" t="str">
        <f t="shared" si="11"/>
        <v>xxx</v>
      </c>
      <c r="E376" s="139" t="str">
        <f>IF(D376="xxx","xxx",IF(AND($E$8=1,Eingabe!$C$7="S"),(C376+D376)*$E$3/Formeln!$L$20,IF(AND($E$8=1,Eingabe!$C$7="K"),(C376-D376)*$E$3/Formeln!$L$20,C376*$E$3/Formeln!$L$20)))</f>
        <v>xxx</v>
      </c>
      <c r="F376" s="139">
        <f>IF(Eingabe!$C$7="K",C376-D376+E376,SUM(C376:E376))</f>
        <v>0</v>
      </c>
    </row>
    <row r="377" spans="2:6" x14ac:dyDescent="0.25">
      <c r="B377" s="138" t="str">
        <f>IF(AND(Formeln!$I$11=2,B376&lt;$E$4/Formeln!$M$20),B376+1,IF(AND(Formeln!$I$11=1,B376&lt;$E$4*Formeln!$M$20),B376+1,"xxx"))</f>
        <v>xxx</v>
      </c>
      <c r="C377" s="139" t="str">
        <f t="shared" si="10"/>
        <v>xxx</v>
      </c>
      <c r="D377" s="139" t="str">
        <f t="shared" si="11"/>
        <v>xxx</v>
      </c>
      <c r="E377" s="139" t="str">
        <f>IF(D377="xxx","xxx",IF(AND($E$8=1,Eingabe!$C$7="S"),(C377+D377)*$E$3/Formeln!$L$20,IF(AND($E$8=1,Eingabe!$C$7="K"),(C377-D377)*$E$3/Formeln!$L$20,C377*$E$3/Formeln!$L$20)))</f>
        <v>xxx</v>
      </c>
      <c r="F377" s="139">
        <f>IF(Eingabe!$C$7="K",C377-D377+E377,SUM(C377:E377))</f>
        <v>0</v>
      </c>
    </row>
    <row r="378" spans="2:6" x14ac:dyDescent="0.25">
      <c r="B378" s="138" t="str">
        <f>IF(AND(Formeln!$I$11=2,B377&lt;$E$4/Formeln!$M$20),B377+1,IF(AND(Formeln!$I$11=1,B377&lt;$E$4*Formeln!$M$20),B377+1,"xxx"))</f>
        <v>xxx</v>
      </c>
      <c r="C378" s="139" t="str">
        <f t="shared" si="10"/>
        <v>xxx</v>
      </c>
      <c r="D378" s="139" t="str">
        <f t="shared" si="11"/>
        <v>xxx</v>
      </c>
      <c r="E378" s="139" t="str">
        <f>IF(D378="xxx","xxx",IF(AND($E$8=1,Eingabe!$C$7="S"),(C378+D378)*$E$3/Formeln!$L$20,IF(AND($E$8=1,Eingabe!$C$7="K"),(C378-D378)*$E$3/Formeln!$L$20,C378*$E$3/Formeln!$L$20)))</f>
        <v>xxx</v>
      </c>
      <c r="F378" s="139">
        <f>IF(Eingabe!$C$7="K",C378-D378+E378,SUM(C378:E378))</f>
        <v>0</v>
      </c>
    </row>
    <row r="379" spans="2:6" x14ac:dyDescent="0.25">
      <c r="B379" s="138" t="str">
        <f>IF(AND(Formeln!$I$11=2,B378&lt;$E$4/Formeln!$M$20),B378+1,IF(AND(Formeln!$I$11=1,B378&lt;$E$4*Formeln!$M$20),B378+1,"xxx"))</f>
        <v>xxx</v>
      </c>
      <c r="C379" s="139" t="str">
        <f t="shared" si="10"/>
        <v>xxx</v>
      </c>
      <c r="D379" s="139" t="str">
        <f t="shared" si="11"/>
        <v>xxx</v>
      </c>
      <c r="E379" s="139" t="str">
        <f>IF(D379="xxx","xxx",IF(AND($E$8=1,Eingabe!$C$7="S"),(C379+D379)*$E$3/Formeln!$L$20,IF(AND($E$8=1,Eingabe!$C$7="K"),(C379-D379)*$E$3/Formeln!$L$20,C379*$E$3/Formeln!$L$20)))</f>
        <v>xxx</v>
      </c>
      <c r="F379" s="139">
        <f>IF(Eingabe!$C$7="K",C379-D379+E379,SUM(C379:E379))</f>
        <v>0</v>
      </c>
    </row>
    <row r="380" spans="2:6" x14ac:dyDescent="0.25">
      <c r="B380" s="138" t="str">
        <f>IF(AND(Formeln!$I$11=2,B379&lt;$E$4/Formeln!$M$20),B379+1,IF(AND(Formeln!$I$11=1,B379&lt;$E$4*Formeln!$M$20),B379+1,"xxx"))</f>
        <v>xxx</v>
      </c>
      <c r="C380" s="139" t="str">
        <f t="shared" si="10"/>
        <v>xxx</v>
      </c>
      <c r="D380" s="139" t="str">
        <f t="shared" si="11"/>
        <v>xxx</v>
      </c>
      <c r="E380" s="139" t="str">
        <f>IF(D380="xxx","xxx",IF(AND($E$8=1,Eingabe!$C$7="S"),(C380+D380)*$E$3/Formeln!$L$20,IF(AND($E$8=1,Eingabe!$C$7="K"),(C380-D380)*$E$3/Formeln!$L$20,C380*$E$3/Formeln!$L$20)))</f>
        <v>xxx</v>
      </c>
      <c r="F380" s="139">
        <f>IF(Eingabe!$C$7="K",C380-D380+E380,SUM(C380:E380))</f>
        <v>0</v>
      </c>
    </row>
    <row r="381" spans="2:6" x14ac:dyDescent="0.25">
      <c r="B381" s="138" t="str">
        <f>IF(AND(Formeln!$I$11=2,B380&lt;$E$4/Formeln!$M$20),B380+1,IF(AND(Formeln!$I$11=1,B380&lt;$E$4*Formeln!$M$20),B380+1,"xxx"))</f>
        <v>xxx</v>
      </c>
      <c r="C381" s="139" t="str">
        <f t="shared" si="10"/>
        <v>xxx</v>
      </c>
      <c r="D381" s="139" t="str">
        <f t="shared" si="11"/>
        <v>xxx</v>
      </c>
      <c r="E381" s="139" t="str">
        <f>IF(D381="xxx","xxx",IF(AND($E$8=1,Eingabe!$C$7="S"),(C381+D381)*$E$3/Formeln!$L$20,IF(AND($E$8=1,Eingabe!$C$7="K"),(C381-D381)*$E$3/Formeln!$L$20,C381*$E$3/Formeln!$L$20)))</f>
        <v>xxx</v>
      </c>
      <c r="F381" s="139">
        <f>IF(Eingabe!$C$7="K",C381-D381+E381,SUM(C381:E381))</f>
        <v>0</v>
      </c>
    </row>
    <row r="382" spans="2:6" x14ac:dyDescent="0.25">
      <c r="B382" s="138" t="str">
        <f>IF(AND(Formeln!$I$11=2,B381&lt;$E$4/Formeln!$M$20),B381+1,IF(AND(Formeln!$I$11=1,B381&lt;$E$4*Formeln!$M$20),B381+1,"xxx"))</f>
        <v>xxx</v>
      </c>
      <c r="C382" s="139" t="str">
        <f t="shared" si="10"/>
        <v>xxx</v>
      </c>
      <c r="D382" s="139" t="str">
        <f t="shared" si="11"/>
        <v>xxx</v>
      </c>
      <c r="E382" s="139" t="str">
        <f>IF(D382="xxx","xxx",IF(AND($E$8=1,Eingabe!$C$7="S"),(C382+D382)*$E$3/Formeln!$L$20,IF(AND($E$8=1,Eingabe!$C$7="K"),(C382-D382)*$E$3/Formeln!$L$20,C382*$E$3/Formeln!$L$20)))</f>
        <v>xxx</v>
      </c>
      <c r="F382" s="139">
        <f>IF(Eingabe!$C$7="K",C382-D382+E382,SUM(C382:E382))</f>
        <v>0</v>
      </c>
    </row>
    <row r="383" spans="2:6" x14ac:dyDescent="0.25">
      <c r="B383" s="138" t="str">
        <f>IF(AND(Formeln!$I$11=2,B382&lt;$E$4/Formeln!$M$20),B382+1,IF(AND(Formeln!$I$11=1,B382&lt;$E$4*Formeln!$M$20),B382+1,"xxx"))</f>
        <v>xxx</v>
      </c>
      <c r="C383" s="139" t="str">
        <f t="shared" si="10"/>
        <v>xxx</v>
      </c>
      <c r="D383" s="139" t="str">
        <f t="shared" si="11"/>
        <v>xxx</v>
      </c>
      <c r="E383" s="139" t="str">
        <f>IF(D383="xxx","xxx",IF(AND($E$8=1,Eingabe!$C$7="S"),(C383+D383)*$E$3/Formeln!$L$20,IF(AND($E$8=1,Eingabe!$C$7="K"),(C383-D383)*$E$3/Formeln!$L$20,C383*$E$3/Formeln!$L$20)))</f>
        <v>xxx</v>
      </c>
      <c r="F383" s="139">
        <f>IF(Eingabe!$C$7="K",C383-D383+E383,SUM(C383:E383))</f>
        <v>0</v>
      </c>
    </row>
    <row r="384" spans="2:6" x14ac:dyDescent="0.25">
      <c r="B384" s="138" t="str">
        <f>IF(AND(Formeln!$I$11=2,B383&lt;$E$4/Formeln!$M$20),B383+1,IF(AND(Formeln!$I$11=1,B383&lt;$E$4*Formeln!$M$20),B383+1,"xxx"))</f>
        <v>xxx</v>
      </c>
      <c r="C384" s="139" t="str">
        <f t="shared" si="10"/>
        <v>xxx</v>
      </c>
      <c r="D384" s="139" t="str">
        <f t="shared" si="11"/>
        <v>xxx</v>
      </c>
      <c r="E384" s="139" t="str">
        <f>IF(D384="xxx","xxx",IF(AND($E$8=1,Eingabe!$C$7="S"),(C384+D384)*$E$3/Formeln!$L$20,IF(AND($E$8=1,Eingabe!$C$7="K"),(C384-D384)*$E$3/Formeln!$L$20,C384*$E$3/Formeln!$L$20)))</f>
        <v>xxx</v>
      </c>
      <c r="F384" s="139">
        <f>IF(Eingabe!$C$7="K",C384-D384+E384,SUM(C384:E384))</f>
        <v>0</v>
      </c>
    </row>
    <row r="385" spans="2:6" x14ac:dyDescent="0.25">
      <c r="B385" s="138" t="str">
        <f>IF(AND(Formeln!$I$11=2,B384&lt;$E$4/Formeln!$M$20),B384+1,IF(AND(Formeln!$I$11=1,B384&lt;$E$4*Formeln!$M$20),B384+1,"xxx"))</f>
        <v>xxx</v>
      </c>
      <c r="C385" s="139" t="str">
        <f t="shared" si="10"/>
        <v>xxx</v>
      </c>
      <c r="D385" s="139" t="str">
        <f t="shared" si="11"/>
        <v>xxx</v>
      </c>
      <c r="E385" s="139" t="str">
        <f>IF(D385="xxx","xxx",IF(AND($E$8=1,Eingabe!$C$7="S"),(C385+D385)*$E$3/Formeln!$L$20,IF(AND($E$8=1,Eingabe!$C$7="K"),(C385-D385)*$E$3/Formeln!$L$20,C385*$E$3/Formeln!$L$20)))</f>
        <v>xxx</v>
      </c>
      <c r="F385" s="139">
        <f>IF(Eingabe!$C$7="K",C385-D385+E385,SUM(C385:E385))</f>
        <v>0</v>
      </c>
    </row>
    <row r="386" spans="2:6" x14ac:dyDescent="0.25">
      <c r="B386" s="138" t="str">
        <f>IF(AND(Formeln!$I$11=2,B385&lt;$E$4/Formeln!$M$20),B385+1,IF(AND(Formeln!$I$11=1,B385&lt;$E$4*Formeln!$M$20),B385+1,"xxx"))</f>
        <v>xxx</v>
      </c>
      <c r="C386" s="139" t="str">
        <f t="shared" si="10"/>
        <v>xxx</v>
      </c>
      <c r="D386" s="139" t="str">
        <f t="shared" si="11"/>
        <v>xxx</v>
      </c>
      <c r="E386" s="139" t="str">
        <f>IF(D386="xxx","xxx",IF(AND($E$8=1,Eingabe!$C$7="S"),(C386+D386)*$E$3/Formeln!$L$20,IF(AND($E$8=1,Eingabe!$C$7="K"),(C386-D386)*$E$3/Formeln!$L$20,C386*$E$3/Formeln!$L$20)))</f>
        <v>xxx</v>
      </c>
      <c r="F386" s="139">
        <f>IF(Eingabe!$C$7="K",C386-D386+E386,SUM(C386:E386))</f>
        <v>0</v>
      </c>
    </row>
    <row r="387" spans="2:6" x14ac:dyDescent="0.25">
      <c r="B387" s="138" t="str">
        <f>IF(AND(Formeln!$I$11=2,B386&lt;$E$4/Formeln!$M$20),B386+1,IF(AND(Formeln!$I$11=1,B386&lt;$E$4*Formeln!$M$20),B386+1,"xxx"))</f>
        <v>xxx</v>
      </c>
      <c r="C387" s="139" t="str">
        <f t="shared" si="10"/>
        <v>xxx</v>
      </c>
      <c r="D387" s="139" t="str">
        <f t="shared" si="11"/>
        <v>xxx</v>
      </c>
      <c r="E387" s="139" t="str">
        <f>IF(D387="xxx","xxx",IF(AND($E$8=1,Eingabe!$C$7="S"),(C387+D387)*$E$3/Formeln!$L$20,IF(AND($E$8=1,Eingabe!$C$7="K"),(C387-D387)*$E$3/Formeln!$L$20,C387*$E$3/Formeln!$L$20)))</f>
        <v>xxx</v>
      </c>
      <c r="F387" s="139">
        <f>IF(Eingabe!$C$7="K",C387-D387+E387,SUM(C387:E387))</f>
        <v>0</v>
      </c>
    </row>
    <row r="388" spans="2:6" x14ac:dyDescent="0.25">
      <c r="B388" s="138" t="str">
        <f>IF(AND(Formeln!$I$11=2,B387&lt;$E$4/Formeln!$M$20),B387+1,IF(AND(Formeln!$I$11=1,B387&lt;$E$4*Formeln!$M$20),B387+1,"xxx"))</f>
        <v>xxx</v>
      </c>
      <c r="C388" s="139" t="str">
        <f t="shared" si="10"/>
        <v>xxx</v>
      </c>
      <c r="D388" s="139" t="str">
        <f t="shared" si="11"/>
        <v>xxx</v>
      </c>
      <c r="E388" s="139" t="str">
        <f>IF(D388="xxx","xxx",IF(AND($E$8=1,Eingabe!$C$7="S"),(C388+D388)*$E$3/Formeln!$L$20,IF(AND($E$8=1,Eingabe!$C$7="K"),(C388-D388)*$E$3/Formeln!$L$20,C388*$E$3/Formeln!$L$20)))</f>
        <v>xxx</v>
      </c>
      <c r="F388" s="139">
        <f>IF(Eingabe!$C$7="K",C388-D388+E388,SUM(C388:E388))</f>
        <v>0</v>
      </c>
    </row>
    <row r="389" spans="2:6" x14ac:dyDescent="0.25">
      <c r="B389" s="138" t="str">
        <f>IF(AND(Formeln!$I$11=2,B388&lt;$E$4/Formeln!$M$20),B388+1,IF(AND(Formeln!$I$11=1,B388&lt;$E$4*Formeln!$M$20),B388+1,"xxx"))</f>
        <v>xxx</v>
      </c>
      <c r="C389" s="139" t="str">
        <f t="shared" si="10"/>
        <v>xxx</v>
      </c>
      <c r="D389" s="139" t="str">
        <f t="shared" si="11"/>
        <v>xxx</v>
      </c>
      <c r="E389" s="139" t="str">
        <f>IF(D389="xxx","xxx",IF(AND($E$8=1,Eingabe!$C$7="S"),(C389+D389)*$E$3/Formeln!$L$20,IF(AND($E$8=1,Eingabe!$C$7="K"),(C389-D389)*$E$3/Formeln!$L$20,C389*$E$3/Formeln!$L$20)))</f>
        <v>xxx</v>
      </c>
      <c r="F389" s="139">
        <f>IF(Eingabe!$C$7="K",C389-D389+E389,SUM(C389:E389))</f>
        <v>0</v>
      </c>
    </row>
    <row r="390" spans="2:6" x14ac:dyDescent="0.25">
      <c r="B390" s="138" t="str">
        <f>IF(AND(Formeln!$I$11=2,B389&lt;$E$4/Formeln!$M$20),B389+1,IF(AND(Formeln!$I$11=1,B389&lt;$E$4*Formeln!$M$20),B389+1,"xxx"))</f>
        <v>xxx</v>
      </c>
      <c r="C390" s="139" t="str">
        <f t="shared" si="10"/>
        <v>xxx</v>
      </c>
      <c r="D390" s="139" t="str">
        <f t="shared" si="11"/>
        <v>xxx</v>
      </c>
      <c r="E390" s="139" t="str">
        <f>IF(D390="xxx","xxx",IF(AND($E$8=1,Eingabe!$C$7="S"),(C390+D390)*$E$3/Formeln!$L$20,IF(AND($E$8=1,Eingabe!$C$7="K"),(C390-D390)*$E$3/Formeln!$L$20,C390*$E$3/Formeln!$L$20)))</f>
        <v>xxx</v>
      </c>
      <c r="F390" s="139">
        <f>IF(Eingabe!$C$7="K",C390-D390+E390,SUM(C390:E390))</f>
        <v>0</v>
      </c>
    </row>
    <row r="391" spans="2:6" x14ac:dyDescent="0.25">
      <c r="B391" s="138" t="str">
        <f>IF(AND(Formeln!$I$11=2,B390&lt;$E$4/Formeln!$M$20),B390+1,IF(AND(Formeln!$I$11=1,B390&lt;$E$4*Formeln!$M$20),B390+1,"xxx"))</f>
        <v>xxx</v>
      </c>
      <c r="C391" s="139" t="str">
        <f t="shared" si="10"/>
        <v>xxx</v>
      </c>
      <c r="D391" s="139" t="str">
        <f t="shared" si="11"/>
        <v>xxx</v>
      </c>
      <c r="E391" s="139" t="str">
        <f>IF(D391="xxx","xxx",IF(AND($E$8=1,Eingabe!$C$7="S"),(C391+D391)*$E$3/Formeln!$L$20,IF(AND($E$8=1,Eingabe!$C$7="K"),(C391-D391)*$E$3/Formeln!$L$20,C391*$E$3/Formeln!$L$20)))</f>
        <v>xxx</v>
      </c>
      <c r="F391" s="139">
        <f>IF(Eingabe!$C$7="K",C391-D391+E391,SUM(C391:E391))</f>
        <v>0</v>
      </c>
    </row>
    <row r="392" spans="2:6" x14ac:dyDescent="0.25">
      <c r="B392" s="138" t="str">
        <f>IF(AND(Formeln!$I$11=2,B391&lt;$E$4/Formeln!$M$20),B391+1,IF(AND(Formeln!$I$11=1,B391&lt;$E$4*Formeln!$M$20),B391+1,"xxx"))</f>
        <v>xxx</v>
      </c>
      <c r="C392" s="139" t="str">
        <f t="shared" si="10"/>
        <v>xxx</v>
      </c>
      <c r="D392" s="139" t="str">
        <f t="shared" si="11"/>
        <v>xxx</v>
      </c>
      <c r="E392" s="139" t="str">
        <f>IF(D392="xxx","xxx",IF(AND($E$8=1,Eingabe!$C$7="S"),(C392+D392)*$E$3/Formeln!$L$20,IF(AND($E$8=1,Eingabe!$C$7="K"),(C392-D392)*$E$3/Formeln!$L$20,C392*$E$3/Formeln!$L$20)))</f>
        <v>xxx</v>
      </c>
      <c r="F392" s="139">
        <f>IF(Eingabe!$C$7="K",C392-D392+E392,SUM(C392:E392))</f>
        <v>0</v>
      </c>
    </row>
    <row r="393" spans="2:6" x14ac:dyDescent="0.25">
      <c r="B393" s="138" t="str">
        <f>IF(AND(Formeln!$I$11=2,B392&lt;$E$4/Formeln!$M$20),B392+1,IF(AND(Formeln!$I$11=1,B392&lt;$E$4*Formeln!$M$20),B392+1,"xxx"))</f>
        <v>xxx</v>
      </c>
      <c r="C393" s="139" t="str">
        <f t="shared" si="10"/>
        <v>xxx</v>
      </c>
      <c r="D393" s="139" t="str">
        <f t="shared" si="11"/>
        <v>xxx</v>
      </c>
      <c r="E393" s="139" t="str">
        <f>IF(D393="xxx","xxx",IF(AND($E$8=1,Eingabe!$C$7="S"),(C393+D393)*$E$3/Formeln!$L$20,IF(AND($E$8=1,Eingabe!$C$7="K"),(C393-D393)*$E$3/Formeln!$L$20,C393*$E$3/Formeln!$L$20)))</f>
        <v>xxx</v>
      </c>
      <c r="F393" s="139">
        <f>IF(Eingabe!$C$7="K",C393-D393+E393,SUM(C393:E393))</f>
        <v>0</v>
      </c>
    </row>
    <row r="394" spans="2:6" x14ac:dyDescent="0.25">
      <c r="B394" s="138" t="str">
        <f>IF(AND(Formeln!$I$11=2,B393&lt;$E$4/Formeln!$M$20),B393+1,IF(AND(Formeln!$I$11=1,B393&lt;$E$4*Formeln!$M$20),B393+1,"xxx"))</f>
        <v>xxx</v>
      </c>
      <c r="C394" s="139" t="str">
        <f t="shared" si="10"/>
        <v>xxx</v>
      </c>
      <c r="D394" s="139" t="str">
        <f t="shared" si="11"/>
        <v>xxx</v>
      </c>
      <c r="E394" s="139" t="str">
        <f>IF(D394="xxx","xxx",IF(AND($E$8=1,Eingabe!$C$7="S"),(C394+D394)*$E$3/Formeln!$L$20,IF(AND($E$8=1,Eingabe!$C$7="K"),(C394-D394)*$E$3/Formeln!$L$20,C394*$E$3/Formeln!$L$20)))</f>
        <v>xxx</v>
      </c>
      <c r="F394" s="139">
        <f>IF(Eingabe!$C$7="K",C394-D394+E394,SUM(C394:E394))</f>
        <v>0</v>
      </c>
    </row>
    <row r="395" spans="2:6" x14ac:dyDescent="0.25">
      <c r="B395" s="138" t="str">
        <f>IF(AND(Formeln!$I$11=2,B394&lt;$E$4/Formeln!$M$20),B394+1,IF(AND(Formeln!$I$11=1,B394&lt;$E$4*Formeln!$M$20),B394+1,"xxx"))</f>
        <v>xxx</v>
      </c>
      <c r="C395" s="139" t="str">
        <f t="shared" si="10"/>
        <v>xxx</v>
      </c>
      <c r="D395" s="139" t="str">
        <f t="shared" si="11"/>
        <v>xxx</v>
      </c>
      <c r="E395" s="139" t="str">
        <f>IF(D395="xxx","xxx",IF(AND($E$8=1,Eingabe!$C$7="S"),(C395+D395)*$E$3/Formeln!$L$20,IF(AND($E$8=1,Eingabe!$C$7="K"),(C395-D395)*$E$3/Formeln!$L$20,C395*$E$3/Formeln!$L$20)))</f>
        <v>xxx</v>
      </c>
      <c r="F395" s="139">
        <f>IF(Eingabe!$C$7="K",C395-D395+E395,SUM(C395:E395))</f>
        <v>0</v>
      </c>
    </row>
    <row r="396" spans="2:6" x14ac:dyDescent="0.25">
      <c r="B396" s="138" t="str">
        <f>IF(AND(Formeln!$I$11=2,B395&lt;$E$4/Formeln!$M$20),B395+1,IF(AND(Formeln!$I$11=1,B395&lt;$E$4*Formeln!$M$20),B395+1,"xxx"))</f>
        <v>xxx</v>
      </c>
      <c r="C396" s="139" t="str">
        <f t="shared" si="10"/>
        <v>xxx</v>
      </c>
      <c r="D396" s="139" t="str">
        <f t="shared" si="11"/>
        <v>xxx</v>
      </c>
      <c r="E396" s="139" t="str">
        <f>IF(D396="xxx","xxx",IF(AND($E$8=1,Eingabe!$C$7="S"),(C396+D396)*$E$3/Formeln!$L$20,IF(AND($E$8=1,Eingabe!$C$7="K"),(C396-D396)*$E$3/Formeln!$L$20,C396*$E$3/Formeln!$L$20)))</f>
        <v>xxx</v>
      </c>
      <c r="F396" s="139">
        <f>IF(Eingabe!$C$7="K",C396-D396+E396,SUM(C396:E396))</f>
        <v>0</v>
      </c>
    </row>
    <row r="397" spans="2:6" x14ac:dyDescent="0.25">
      <c r="B397" s="138" t="str">
        <f>IF(AND(Formeln!$I$11=2,B396&lt;$E$4/Formeln!$M$20),B396+1,IF(AND(Formeln!$I$11=1,B396&lt;$E$4*Formeln!$M$20),B396+1,"xxx"))</f>
        <v>xxx</v>
      </c>
      <c r="C397" s="139" t="str">
        <f t="shared" ref="C397:C460" si="12">IF(B397="xxx","xxx",F396)</f>
        <v>xxx</v>
      </c>
      <c r="D397" s="139" t="str">
        <f t="shared" ref="D397:D460" si="13">IF(C397="xxx","xxx",D396)</f>
        <v>xxx</v>
      </c>
      <c r="E397" s="139" t="str">
        <f>IF(D397="xxx","xxx",IF(AND($E$8=1,Eingabe!$C$7="S"),(C397+D397)*$E$3/Formeln!$L$20,IF(AND($E$8=1,Eingabe!$C$7="K"),(C397-D397)*$E$3/Formeln!$L$20,C397*$E$3/Formeln!$L$20)))</f>
        <v>xxx</v>
      </c>
      <c r="F397" s="139">
        <f>IF(Eingabe!$C$7="K",C397-D397+E397,SUM(C397:E397))</f>
        <v>0</v>
      </c>
    </row>
    <row r="398" spans="2:6" x14ac:dyDescent="0.25">
      <c r="B398" s="138" t="str">
        <f>IF(AND(Formeln!$I$11=2,B397&lt;$E$4/Formeln!$M$20),B397+1,IF(AND(Formeln!$I$11=1,B397&lt;$E$4*Formeln!$M$20),B397+1,"xxx"))</f>
        <v>xxx</v>
      </c>
      <c r="C398" s="139" t="str">
        <f t="shared" si="12"/>
        <v>xxx</v>
      </c>
      <c r="D398" s="139" t="str">
        <f t="shared" si="13"/>
        <v>xxx</v>
      </c>
      <c r="E398" s="139" t="str">
        <f>IF(D398="xxx","xxx",IF(AND($E$8=1,Eingabe!$C$7="S"),(C398+D398)*$E$3/Formeln!$L$20,IF(AND($E$8=1,Eingabe!$C$7="K"),(C398-D398)*$E$3/Formeln!$L$20,C398*$E$3/Formeln!$L$20)))</f>
        <v>xxx</v>
      </c>
      <c r="F398" s="139">
        <f>IF(Eingabe!$C$7="K",C398-D398+E398,SUM(C398:E398))</f>
        <v>0</v>
      </c>
    </row>
    <row r="399" spans="2:6" x14ac:dyDescent="0.25">
      <c r="B399" s="138" t="str">
        <f>IF(AND(Formeln!$I$11=2,B398&lt;$E$4/Formeln!$M$20),B398+1,IF(AND(Formeln!$I$11=1,B398&lt;$E$4*Formeln!$M$20),B398+1,"xxx"))</f>
        <v>xxx</v>
      </c>
      <c r="C399" s="139" t="str">
        <f t="shared" si="12"/>
        <v>xxx</v>
      </c>
      <c r="D399" s="139" t="str">
        <f t="shared" si="13"/>
        <v>xxx</v>
      </c>
      <c r="E399" s="139" t="str">
        <f>IF(D399="xxx","xxx",IF(AND($E$8=1,Eingabe!$C$7="S"),(C399+D399)*$E$3/Formeln!$L$20,IF(AND($E$8=1,Eingabe!$C$7="K"),(C399-D399)*$E$3/Formeln!$L$20,C399*$E$3/Formeln!$L$20)))</f>
        <v>xxx</v>
      </c>
      <c r="F399" s="139">
        <f>IF(Eingabe!$C$7="K",C399-D399+E399,SUM(C399:E399))</f>
        <v>0</v>
      </c>
    </row>
    <row r="400" spans="2:6" x14ac:dyDescent="0.25">
      <c r="B400" s="138" t="str">
        <f>IF(AND(Formeln!$I$11=2,B399&lt;$E$4/Formeln!$M$20),B399+1,IF(AND(Formeln!$I$11=1,B399&lt;$E$4*Formeln!$M$20),B399+1,"xxx"))</f>
        <v>xxx</v>
      </c>
      <c r="C400" s="139" t="str">
        <f t="shared" si="12"/>
        <v>xxx</v>
      </c>
      <c r="D400" s="139" t="str">
        <f t="shared" si="13"/>
        <v>xxx</v>
      </c>
      <c r="E400" s="139" t="str">
        <f>IF(D400="xxx","xxx",IF(AND($E$8=1,Eingabe!$C$7="S"),(C400+D400)*$E$3/Formeln!$L$20,IF(AND($E$8=1,Eingabe!$C$7="K"),(C400-D400)*$E$3/Formeln!$L$20,C400*$E$3/Formeln!$L$20)))</f>
        <v>xxx</v>
      </c>
      <c r="F400" s="139">
        <f>IF(Eingabe!$C$7="K",C400-D400+E400,SUM(C400:E400))</f>
        <v>0</v>
      </c>
    </row>
    <row r="401" spans="2:6" x14ac:dyDescent="0.25">
      <c r="B401" s="138" t="str">
        <f>IF(AND(Formeln!$I$11=2,B400&lt;$E$4/Formeln!$M$20),B400+1,IF(AND(Formeln!$I$11=1,B400&lt;$E$4*Formeln!$M$20),B400+1,"xxx"))</f>
        <v>xxx</v>
      </c>
      <c r="C401" s="139" t="str">
        <f t="shared" si="12"/>
        <v>xxx</v>
      </c>
      <c r="D401" s="139" t="str">
        <f t="shared" si="13"/>
        <v>xxx</v>
      </c>
      <c r="E401" s="139" t="str">
        <f>IF(D401="xxx","xxx",IF(AND($E$8=1,Eingabe!$C$7="S"),(C401+D401)*$E$3/Formeln!$L$20,IF(AND($E$8=1,Eingabe!$C$7="K"),(C401-D401)*$E$3/Formeln!$L$20,C401*$E$3/Formeln!$L$20)))</f>
        <v>xxx</v>
      </c>
      <c r="F401" s="139">
        <f>IF(Eingabe!$C$7="K",C401-D401+E401,SUM(C401:E401))</f>
        <v>0</v>
      </c>
    </row>
    <row r="402" spans="2:6" x14ac:dyDescent="0.25">
      <c r="B402" s="138" t="str">
        <f>IF(AND(Formeln!$I$11=2,B401&lt;$E$4/Formeln!$M$20),B401+1,IF(AND(Formeln!$I$11=1,B401&lt;$E$4*Formeln!$M$20),B401+1,"xxx"))</f>
        <v>xxx</v>
      </c>
      <c r="C402" s="139" t="str">
        <f t="shared" si="12"/>
        <v>xxx</v>
      </c>
      <c r="D402" s="139" t="str">
        <f t="shared" si="13"/>
        <v>xxx</v>
      </c>
      <c r="E402" s="139" t="str">
        <f>IF(D402="xxx","xxx",IF(AND($E$8=1,Eingabe!$C$7="S"),(C402+D402)*$E$3/Formeln!$L$20,IF(AND($E$8=1,Eingabe!$C$7="K"),(C402-D402)*$E$3/Formeln!$L$20,C402*$E$3/Formeln!$L$20)))</f>
        <v>xxx</v>
      </c>
      <c r="F402" s="139">
        <f>IF(Eingabe!$C$7="K",C402-D402+E402,SUM(C402:E402))</f>
        <v>0</v>
      </c>
    </row>
    <row r="403" spans="2:6" x14ac:dyDescent="0.25">
      <c r="B403" s="138" t="str">
        <f>IF(AND(Formeln!$I$11=2,B402&lt;$E$4/Formeln!$M$20),B402+1,IF(AND(Formeln!$I$11=1,B402&lt;$E$4*Formeln!$M$20),B402+1,"xxx"))</f>
        <v>xxx</v>
      </c>
      <c r="C403" s="139" t="str">
        <f t="shared" si="12"/>
        <v>xxx</v>
      </c>
      <c r="D403" s="139" t="str">
        <f t="shared" si="13"/>
        <v>xxx</v>
      </c>
      <c r="E403" s="139" t="str">
        <f>IF(D403="xxx","xxx",IF(AND($E$8=1,Eingabe!$C$7="S"),(C403+D403)*$E$3/Formeln!$L$20,IF(AND($E$8=1,Eingabe!$C$7="K"),(C403-D403)*$E$3/Formeln!$L$20,C403*$E$3/Formeln!$L$20)))</f>
        <v>xxx</v>
      </c>
      <c r="F403" s="139">
        <f>IF(Eingabe!$C$7="K",C403-D403+E403,SUM(C403:E403))</f>
        <v>0</v>
      </c>
    </row>
    <row r="404" spans="2:6" x14ac:dyDescent="0.25">
      <c r="B404" s="138" t="str">
        <f>IF(AND(Formeln!$I$11=2,B403&lt;$E$4/Formeln!$M$20),B403+1,IF(AND(Formeln!$I$11=1,B403&lt;$E$4*Formeln!$M$20),B403+1,"xxx"))</f>
        <v>xxx</v>
      </c>
      <c r="C404" s="139" t="str">
        <f t="shared" si="12"/>
        <v>xxx</v>
      </c>
      <c r="D404" s="139" t="str">
        <f t="shared" si="13"/>
        <v>xxx</v>
      </c>
      <c r="E404" s="139" t="str">
        <f>IF(D404="xxx","xxx",IF(AND($E$8=1,Eingabe!$C$7="S"),(C404+D404)*$E$3/Formeln!$L$20,IF(AND($E$8=1,Eingabe!$C$7="K"),(C404-D404)*$E$3/Formeln!$L$20,C404*$E$3/Formeln!$L$20)))</f>
        <v>xxx</v>
      </c>
      <c r="F404" s="139">
        <f>IF(Eingabe!$C$7="K",C404-D404+E404,SUM(C404:E404))</f>
        <v>0</v>
      </c>
    </row>
    <row r="405" spans="2:6" x14ac:dyDescent="0.25">
      <c r="B405" s="138" t="str">
        <f>IF(AND(Formeln!$I$11=2,B404&lt;$E$4/Formeln!$M$20),B404+1,IF(AND(Formeln!$I$11=1,B404&lt;$E$4*Formeln!$M$20),B404+1,"xxx"))</f>
        <v>xxx</v>
      </c>
      <c r="C405" s="139" t="str">
        <f t="shared" si="12"/>
        <v>xxx</v>
      </c>
      <c r="D405" s="139" t="str">
        <f t="shared" si="13"/>
        <v>xxx</v>
      </c>
      <c r="E405" s="139" t="str">
        <f>IF(D405="xxx","xxx",IF(AND($E$8=1,Eingabe!$C$7="S"),(C405+D405)*$E$3/Formeln!$L$20,IF(AND($E$8=1,Eingabe!$C$7="K"),(C405-D405)*$E$3/Formeln!$L$20,C405*$E$3/Formeln!$L$20)))</f>
        <v>xxx</v>
      </c>
      <c r="F405" s="139">
        <f>IF(Eingabe!$C$7="K",C405-D405+E405,SUM(C405:E405))</f>
        <v>0</v>
      </c>
    </row>
    <row r="406" spans="2:6" x14ac:dyDescent="0.25">
      <c r="B406" s="138" t="str">
        <f>IF(AND(Formeln!$I$11=2,B405&lt;$E$4/Formeln!$M$20),B405+1,IF(AND(Formeln!$I$11=1,B405&lt;$E$4*Formeln!$M$20),B405+1,"xxx"))</f>
        <v>xxx</v>
      </c>
      <c r="C406" s="139" t="str">
        <f t="shared" si="12"/>
        <v>xxx</v>
      </c>
      <c r="D406" s="139" t="str">
        <f t="shared" si="13"/>
        <v>xxx</v>
      </c>
      <c r="E406" s="139" t="str">
        <f>IF(D406="xxx","xxx",IF(AND($E$8=1,Eingabe!$C$7="S"),(C406+D406)*$E$3/Formeln!$L$20,IF(AND($E$8=1,Eingabe!$C$7="K"),(C406-D406)*$E$3/Formeln!$L$20,C406*$E$3/Formeln!$L$20)))</f>
        <v>xxx</v>
      </c>
      <c r="F406" s="139">
        <f>IF(Eingabe!$C$7="K",C406-D406+E406,SUM(C406:E406))</f>
        <v>0</v>
      </c>
    </row>
    <row r="407" spans="2:6" x14ac:dyDescent="0.25">
      <c r="B407" s="138" t="str">
        <f>IF(AND(Formeln!$I$11=2,B406&lt;$E$4/Formeln!$M$20),B406+1,IF(AND(Formeln!$I$11=1,B406&lt;$E$4*Formeln!$M$20),B406+1,"xxx"))</f>
        <v>xxx</v>
      </c>
      <c r="C407" s="139" t="str">
        <f t="shared" si="12"/>
        <v>xxx</v>
      </c>
      <c r="D407" s="139" t="str">
        <f t="shared" si="13"/>
        <v>xxx</v>
      </c>
      <c r="E407" s="139" t="str">
        <f>IF(D407="xxx","xxx",IF(AND($E$8=1,Eingabe!$C$7="S"),(C407+D407)*$E$3/Formeln!$L$20,IF(AND($E$8=1,Eingabe!$C$7="K"),(C407-D407)*$E$3/Formeln!$L$20,C407*$E$3/Formeln!$L$20)))</f>
        <v>xxx</v>
      </c>
      <c r="F407" s="139">
        <f>IF(Eingabe!$C$7="K",C407-D407+E407,SUM(C407:E407))</f>
        <v>0</v>
      </c>
    </row>
    <row r="408" spans="2:6" x14ac:dyDescent="0.25">
      <c r="B408" s="138" t="str">
        <f>IF(AND(Formeln!$I$11=2,B407&lt;$E$4/Formeln!$M$20),B407+1,IF(AND(Formeln!$I$11=1,B407&lt;$E$4*Formeln!$M$20),B407+1,"xxx"))</f>
        <v>xxx</v>
      </c>
      <c r="C408" s="139" t="str">
        <f t="shared" si="12"/>
        <v>xxx</v>
      </c>
      <c r="D408" s="139" t="str">
        <f t="shared" si="13"/>
        <v>xxx</v>
      </c>
      <c r="E408" s="139" t="str">
        <f>IF(D408="xxx","xxx",IF(AND($E$8=1,Eingabe!$C$7="S"),(C408+D408)*$E$3/Formeln!$L$20,IF(AND($E$8=1,Eingabe!$C$7="K"),(C408-D408)*$E$3/Formeln!$L$20,C408*$E$3/Formeln!$L$20)))</f>
        <v>xxx</v>
      </c>
      <c r="F408" s="139">
        <f>IF(Eingabe!$C$7="K",C408-D408+E408,SUM(C408:E408))</f>
        <v>0</v>
      </c>
    </row>
    <row r="409" spans="2:6" x14ac:dyDescent="0.25">
      <c r="B409" s="138" t="str">
        <f>IF(AND(Formeln!$I$11=2,B408&lt;$E$4/Formeln!$M$20),B408+1,IF(AND(Formeln!$I$11=1,B408&lt;$E$4*Formeln!$M$20),B408+1,"xxx"))</f>
        <v>xxx</v>
      </c>
      <c r="C409" s="139" t="str">
        <f t="shared" si="12"/>
        <v>xxx</v>
      </c>
      <c r="D409" s="139" t="str">
        <f t="shared" si="13"/>
        <v>xxx</v>
      </c>
      <c r="E409" s="139" t="str">
        <f>IF(D409="xxx","xxx",IF(AND($E$8=1,Eingabe!$C$7="S"),(C409+D409)*$E$3/Formeln!$L$20,IF(AND($E$8=1,Eingabe!$C$7="K"),(C409-D409)*$E$3/Formeln!$L$20,C409*$E$3/Formeln!$L$20)))</f>
        <v>xxx</v>
      </c>
      <c r="F409" s="139">
        <f>IF(Eingabe!$C$7="K",C409-D409+E409,SUM(C409:E409))</f>
        <v>0</v>
      </c>
    </row>
    <row r="410" spans="2:6" x14ac:dyDescent="0.25">
      <c r="B410" s="138" t="str">
        <f>IF(AND(Formeln!$I$11=2,B409&lt;$E$4/Formeln!$M$20),B409+1,IF(AND(Formeln!$I$11=1,B409&lt;$E$4*Formeln!$M$20),B409+1,"xxx"))</f>
        <v>xxx</v>
      </c>
      <c r="C410" s="139" t="str">
        <f t="shared" si="12"/>
        <v>xxx</v>
      </c>
      <c r="D410" s="139" t="str">
        <f t="shared" si="13"/>
        <v>xxx</v>
      </c>
      <c r="E410" s="139" t="str">
        <f>IF(D410="xxx","xxx",IF(AND($E$8=1,Eingabe!$C$7="S"),(C410+D410)*$E$3/Formeln!$L$20,IF(AND($E$8=1,Eingabe!$C$7="K"),(C410-D410)*$E$3/Formeln!$L$20,C410*$E$3/Formeln!$L$20)))</f>
        <v>xxx</v>
      </c>
      <c r="F410" s="139">
        <f>IF(Eingabe!$C$7="K",C410-D410+E410,SUM(C410:E410))</f>
        <v>0</v>
      </c>
    </row>
    <row r="411" spans="2:6" x14ac:dyDescent="0.25">
      <c r="B411" s="138" t="str">
        <f>IF(AND(Formeln!$I$11=2,B410&lt;$E$4/Formeln!$M$20),B410+1,IF(AND(Formeln!$I$11=1,B410&lt;$E$4*Formeln!$M$20),B410+1,"xxx"))</f>
        <v>xxx</v>
      </c>
      <c r="C411" s="139" t="str">
        <f t="shared" si="12"/>
        <v>xxx</v>
      </c>
      <c r="D411" s="139" t="str">
        <f t="shared" si="13"/>
        <v>xxx</v>
      </c>
      <c r="E411" s="139" t="str">
        <f>IF(D411="xxx","xxx",IF(AND($E$8=1,Eingabe!$C$7="S"),(C411+D411)*$E$3/Formeln!$L$20,IF(AND($E$8=1,Eingabe!$C$7="K"),(C411-D411)*$E$3/Formeln!$L$20,C411*$E$3/Formeln!$L$20)))</f>
        <v>xxx</v>
      </c>
      <c r="F411" s="139">
        <f>IF(Eingabe!$C$7="K",C411-D411+E411,SUM(C411:E411))</f>
        <v>0</v>
      </c>
    </row>
    <row r="412" spans="2:6" x14ac:dyDescent="0.25">
      <c r="B412" s="138" t="str">
        <f>IF(AND(Formeln!$I$11=2,B411&lt;$E$4/Formeln!$M$20),B411+1,IF(AND(Formeln!$I$11=1,B411&lt;$E$4*Formeln!$M$20),B411+1,"xxx"))</f>
        <v>xxx</v>
      </c>
      <c r="C412" s="139" t="str">
        <f t="shared" si="12"/>
        <v>xxx</v>
      </c>
      <c r="D412" s="139" t="str">
        <f t="shared" si="13"/>
        <v>xxx</v>
      </c>
      <c r="E412" s="139" t="str">
        <f>IF(D412="xxx","xxx",IF(AND($E$8=1,Eingabe!$C$7="S"),(C412+D412)*$E$3/Formeln!$L$20,IF(AND($E$8=1,Eingabe!$C$7="K"),(C412-D412)*$E$3/Formeln!$L$20,C412*$E$3/Formeln!$L$20)))</f>
        <v>xxx</v>
      </c>
      <c r="F412" s="139">
        <f>IF(Eingabe!$C$7="K",C412-D412+E412,SUM(C412:E412))</f>
        <v>0</v>
      </c>
    </row>
    <row r="413" spans="2:6" x14ac:dyDescent="0.25">
      <c r="B413" s="138" t="str">
        <f>IF(AND(Formeln!$I$11=2,B412&lt;$E$4/Formeln!$M$20),B412+1,IF(AND(Formeln!$I$11=1,B412&lt;$E$4*Formeln!$M$20),B412+1,"xxx"))</f>
        <v>xxx</v>
      </c>
      <c r="C413" s="139" t="str">
        <f t="shared" si="12"/>
        <v>xxx</v>
      </c>
      <c r="D413" s="139" t="str">
        <f t="shared" si="13"/>
        <v>xxx</v>
      </c>
      <c r="E413" s="139" t="str">
        <f>IF(D413="xxx","xxx",IF(AND($E$8=1,Eingabe!$C$7="S"),(C413+D413)*$E$3/Formeln!$L$20,IF(AND($E$8=1,Eingabe!$C$7="K"),(C413-D413)*$E$3/Formeln!$L$20,C413*$E$3/Formeln!$L$20)))</f>
        <v>xxx</v>
      </c>
      <c r="F413" s="139">
        <f>IF(Eingabe!$C$7="K",C413-D413+E413,SUM(C413:E413))</f>
        <v>0</v>
      </c>
    </row>
    <row r="414" spans="2:6" x14ac:dyDescent="0.25">
      <c r="B414" s="138" t="str">
        <f>IF(AND(Formeln!$I$11=2,B413&lt;$E$4/Formeln!$M$20),B413+1,IF(AND(Formeln!$I$11=1,B413&lt;$E$4*Formeln!$M$20),B413+1,"xxx"))</f>
        <v>xxx</v>
      </c>
      <c r="C414" s="139" t="str">
        <f t="shared" si="12"/>
        <v>xxx</v>
      </c>
      <c r="D414" s="139" t="str">
        <f t="shared" si="13"/>
        <v>xxx</v>
      </c>
      <c r="E414" s="139" t="str">
        <f>IF(D414="xxx","xxx",IF(AND($E$8=1,Eingabe!$C$7="S"),(C414+D414)*$E$3/Formeln!$L$20,IF(AND($E$8=1,Eingabe!$C$7="K"),(C414-D414)*$E$3/Formeln!$L$20,C414*$E$3/Formeln!$L$20)))</f>
        <v>xxx</v>
      </c>
      <c r="F414" s="139">
        <f>IF(Eingabe!$C$7="K",C414-D414+E414,SUM(C414:E414))</f>
        <v>0</v>
      </c>
    </row>
    <row r="415" spans="2:6" x14ac:dyDescent="0.25">
      <c r="B415" s="138" t="str">
        <f>IF(AND(Formeln!$I$11=2,B414&lt;$E$4/Formeln!$M$20),B414+1,IF(AND(Formeln!$I$11=1,B414&lt;$E$4*Formeln!$M$20),B414+1,"xxx"))</f>
        <v>xxx</v>
      </c>
      <c r="C415" s="139" t="str">
        <f t="shared" si="12"/>
        <v>xxx</v>
      </c>
      <c r="D415" s="139" t="str">
        <f t="shared" si="13"/>
        <v>xxx</v>
      </c>
      <c r="E415" s="139" t="str">
        <f>IF(D415="xxx","xxx",IF(AND($E$8=1,Eingabe!$C$7="S"),(C415+D415)*$E$3/Formeln!$L$20,IF(AND($E$8=1,Eingabe!$C$7="K"),(C415-D415)*$E$3/Formeln!$L$20,C415*$E$3/Formeln!$L$20)))</f>
        <v>xxx</v>
      </c>
      <c r="F415" s="139">
        <f>IF(Eingabe!$C$7="K",C415-D415+E415,SUM(C415:E415))</f>
        <v>0</v>
      </c>
    </row>
    <row r="416" spans="2:6" x14ac:dyDescent="0.25">
      <c r="B416" s="138" t="str">
        <f>IF(AND(Formeln!$I$11=2,B415&lt;$E$4/Formeln!$M$20),B415+1,IF(AND(Formeln!$I$11=1,B415&lt;$E$4*Formeln!$M$20),B415+1,"xxx"))</f>
        <v>xxx</v>
      </c>
      <c r="C416" s="139" t="str">
        <f t="shared" si="12"/>
        <v>xxx</v>
      </c>
      <c r="D416" s="139" t="str">
        <f t="shared" si="13"/>
        <v>xxx</v>
      </c>
      <c r="E416" s="139" t="str">
        <f>IF(D416="xxx","xxx",IF(AND($E$8=1,Eingabe!$C$7="S"),(C416+D416)*$E$3/Formeln!$L$20,IF(AND($E$8=1,Eingabe!$C$7="K"),(C416-D416)*$E$3/Formeln!$L$20,C416*$E$3/Formeln!$L$20)))</f>
        <v>xxx</v>
      </c>
      <c r="F416" s="139">
        <f>IF(Eingabe!$C$7="K",C416-D416+E416,SUM(C416:E416))</f>
        <v>0</v>
      </c>
    </row>
    <row r="417" spans="2:6" x14ac:dyDescent="0.25">
      <c r="B417" s="138" t="str">
        <f>IF(AND(Formeln!$I$11=2,B416&lt;$E$4/Formeln!$M$20),B416+1,IF(AND(Formeln!$I$11=1,B416&lt;$E$4*Formeln!$M$20),B416+1,"xxx"))</f>
        <v>xxx</v>
      </c>
      <c r="C417" s="139" t="str">
        <f t="shared" si="12"/>
        <v>xxx</v>
      </c>
      <c r="D417" s="139" t="str">
        <f t="shared" si="13"/>
        <v>xxx</v>
      </c>
      <c r="E417" s="139" t="str">
        <f>IF(D417="xxx","xxx",IF(AND($E$8=1,Eingabe!$C$7="S"),(C417+D417)*$E$3/Formeln!$L$20,IF(AND($E$8=1,Eingabe!$C$7="K"),(C417-D417)*$E$3/Formeln!$L$20,C417*$E$3/Formeln!$L$20)))</f>
        <v>xxx</v>
      </c>
      <c r="F417" s="139">
        <f>IF(Eingabe!$C$7="K",C417-D417+E417,SUM(C417:E417))</f>
        <v>0</v>
      </c>
    </row>
    <row r="418" spans="2:6" x14ac:dyDescent="0.25">
      <c r="B418" s="138" t="str">
        <f>IF(AND(Formeln!$I$11=2,B417&lt;$E$4/Formeln!$M$20),B417+1,IF(AND(Formeln!$I$11=1,B417&lt;$E$4*Formeln!$M$20),B417+1,"xxx"))</f>
        <v>xxx</v>
      </c>
      <c r="C418" s="139" t="str">
        <f t="shared" si="12"/>
        <v>xxx</v>
      </c>
      <c r="D418" s="139" t="str">
        <f t="shared" si="13"/>
        <v>xxx</v>
      </c>
      <c r="E418" s="139" t="str">
        <f>IF(D418="xxx","xxx",IF(AND($E$8=1,Eingabe!$C$7="S"),(C418+D418)*$E$3/Formeln!$L$20,IF(AND($E$8=1,Eingabe!$C$7="K"),(C418-D418)*$E$3/Formeln!$L$20,C418*$E$3/Formeln!$L$20)))</f>
        <v>xxx</v>
      </c>
      <c r="F418" s="139">
        <f>IF(Eingabe!$C$7="K",C418-D418+E418,SUM(C418:E418))</f>
        <v>0</v>
      </c>
    </row>
    <row r="419" spans="2:6" x14ac:dyDescent="0.25">
      <c r="B419" s="138" t="str">
        <f>IF(AND(Formeln!$I$11=2,B418&lt;$E$4/Formeln!$M$20),B418+1,IF(AND(Formeln!$I$11=1,B418&lt;$E$4*Formeln!$M$20),B418+1,"xxx"))</f>
        <v>xxx</v>
      </c>
      <c r="C419" s="139" t="str">
        <f t="shared" si="12"/>
        <v>xxx</v>
      </c>
      <c r="D419" s="139" t="str">
        <f t="shared" si="13"/>
        <v>xxx</v>
      </c>
      <c r="E419" s="139" t="str">
        <f>IF(D419="xxx","xxx",IF(AND($E$8=1,Eingabe!$C$7="S"),(C419+D419)*$E$3/Formeln!$L$20,IF(AND($E$8=1,Eingabe!$C$7="K"),(C419-D419)*$E$3/Formeln!$L$20,C419*$E$3/Formeln!$L$20)))</f>
        <v>xxx</v>
      </c>
      <c r="F419" s="139">
        <f>IF(Eingabe!$C$7="K",C419-D419+E419,SUM(C419:E419))</f>
        <v>0</v>
      </c>
    </row>
    <row r="420" spans="2:6" x14ac:dyDescent="0.25">
      <c r="B420" s="138" t="str">
        <f>IF(AND(Formeln!$I$11=2,B419&lt;$E$4/Formeln!$M$20),B419+1,IF(AND(Formeln!$I$11=1,B419&lt;$E$4*Formeln!$M$20),B419+1,"xxx"))</f>
        <v>xxx</v>
      </c>
      <c r="C420" s="139" t="str">
        <f t="shared" si="12"/>
        <v>xxx</v>
      </c>
      <c r="D420" s="139" t="str">
        <f t="shared" si="13"/>
        <v>xxx</v>
      </c>
      <c r="E420" s="139" t="str">
        <f>IF(D420="xxx","xxx",IF(AND($E$8=1,Eingabe!$C$7="S"),(C420+D420)*$E$3/Formeln!$L$20,IF(AND($E$8=1,Eingabe!$C$7="K"),(C420-D420)*$E$3/Formeln!$L$20,C420*$E$3/Formeln!$L$20)))</f>
        <v>xxx</v>
      </c>
      <c r="F420" s="139">
        <f>IF(Eingabe!$C$7="K",C420-D420+E420,SUM(C420:E420))</f>
        <v>0</v>
      </c>
    </row>
    <row r="421" spans="2:6" x14ac:dyDescent="0.25">
      <c r="B421" s="138" t="str">
        <f>IF(AND(Formeln!$I$11=2,B420&lt;$E$4/Formeln!$M$20),B420+1,IF(AND(Formeln!$I$11=1,B420&lt;$E$4*Formeln!$M$20),B420+1,"xxx"))</f>
        <v>xxx</v>
      </c>
      <c r="C421" s="139" t="str">
        <f t="shared" si="12"/>
        <v>xxx</v>
      </c>
      <c r="D421" s="139" t="str">
        <f t="shared" si="13"/>
        <v>xxx</v>
      </c>
      <c r="E421" s="139" t="str">
        <f>IF(D421="xxx","xxx",IF(AND($E$8=1,Eingabe!$C$7="S"),(C421+D421)*$E$3/Formeln!$L$20,IF(AND($E$8=1,Eingabe!$C$7="K"),(C421-D421)*$E$3/Formeln!$L$20,C421*$E$3/Formeln!$L$20)))</f>
        <v>xxx</v>
      </c>
      <c r="F421" s="139">
        <f>IF(Eingabe!$C$7="K",C421-D421+E421,SUM(C421:E421))</f>
        <v>0</v>
      </c>
    </row>
    <row r="422" spans="2:6" x14ac:dyDescent="0.25">
      <c r="B422" s="138" t="str">
        <f>IF(AND(Formeln!$I$11=2,B421&lt;$E$4/Formeln!$M$20),B421+1,IF(AND(Formeln!$I$11=1,B421&lt;$E$4*Formeln!$M$20),B421+1,"xxx"))</f>
        <v>xxx</v>
      </c>
      <c r="C422" s="139" t="str">
        <f t="shared" si="12"/>
        <v>xxx</v>
      </c>
      <c r="D422" s="139" t="str">
        <f t="shared" si="13"/>
        <v>xxx</v>
      </c>
      <c r="E422" s="139" t="str">
        <f>IF(D422="xxx","xxx",IF(AND($E$8=1,Eingabe!$C$7="S"),(C422+D422)*$E$3/Formeln!$L$20,IF(AND($E$8=1,Eingabe!$C$7="K"),(C422-D422)*$E$3/Formeln!$L$20,C422*$E$3/Formeln!$L$20)))</f>
        <v>xxx</v>
      </c>
      <c r="F422" s="139">
        <f>IF(Eingabe!$C$7="K",C422-D422+E422,SUM(C422:E422))</f>
        <v>0</v>
      </c>
    </row>
    <row r="423" spans="2:6" x14ac:dyDescent="0.25">
      <c r="B423" s="138" t="str">
        <f>IF(AND(Formeln!$I$11=2,B422&lt;$E$4/Formeln!$M$20),B422+1,IF(AND(Formeln!$I$11=1,B422&lt;$E$4*Formeln!$M$20),B422+1,"xxx"))</f>
        <v>xxx</v>
      </c>
      <c r="C423" s="139" t="str">
        <f t="shared" si="12"/>
        <v>xxx</v>
      </c>
      <c r="D423" s="139" t="str">
        <f t="shared" si="13"/>
        <v>xxx</v>
      </c>
      <c r="E423" s="139" t="str">
        <f>IF(D423="xxx","xxx",IF(AND($E$8=1,Eingabe!$C$7="S"),(C423+D423)*$E$3/Formeln!$L$20,IF(AND($E$8=1,Eingabe!$C$7="K"),(C423-D423)*$E$3/Formeln!$L$20,C423*$E$3/Formeln!$L$20)))</f>
        <v>xxx</v>
      </c>
      <c r="F423" s="139">
        <f>IF(Eingabe!$C$7="K",C423-D423+E423,SUM(C423:E423))</f>
        <v>0</v>
      </c>
    </row>
    <row r="424" spans="2:6" x14ac:dyDescent="0.25">
      <c r="B424" s="138" t="str">
        <f>IF(AND(Formeln!$I$11=2,B423&lt;$E$4/Formeln!$M$20),B423+1,IF(AND(Formeln!$I$11=1,B423&lt;$E$4*Formeln!$M$20),B423+1,"xxx"))</f>
        <v>xxx</v>
      </c>
      <c r="C424" s="139" t="str">
        <f t="shared" si="12"/>
        <v>xxx</v>
      </c>
      <c r="D424" s="139" t="str">
        <f t="shared" si="13"/>
        <v>xxx</v>
      </c>
      <c r="E424" s="139" t="str">
        <f>IF(D424="xxx","xxx",IF(AND($E$8=1,Eingabe!$C$7="S"),(C424+D424)*$E$3/Formeln!$L$20,IF(AND($E$8=1,Eingabe!$C$7="K"),(C424-D424)*$E$3/Formeln!$L$20,C424*$E$3/Formeln!$L$20)))</f>
        <v>xxx</v>
      </c>
      <c r="F424" s="139">
        <f>IF(Eingabe!$C$7="K",C424-D424+E424,SUM(C424:E424))</f>
        <v>0</v>
      </c>
    </row>
    <row r="425" spans="2:6" x14ac:dyDescent="0.25">
      <c r="B425" s="138" t="str">
        <f>IF(AND(Formeln!$I$11=2,B424&lt;$E$4/Formeln!$M$20),B424+1,IF(AND(Formeln!$I$11=1,B424&lt;$E$4*Formeln!$M$20),B424+1,"xxx"))</f>
        <v>xxx</v>
      </c>
      <c r="C425" s="139" t="str">
        <f t="shared" si="12"/>
        <v>xxx</v>
      </c>
      <c r="D425" s="139" t="str">
        <f t="shared" si="13"/>
        <v>xxx</v>
      </c>
      <c r="E425" s="139" t="str">
        <f>IF(D425="xxx","xxx",IF(AND($E$8=1,Eingabe!$C$7="S"),(C425+D425)*$E$3/Formeln!$L$20,IF(AND($E$8=1,Eingabe!$C$7="K"),(C425-D425)*$E$3/Formeln!$L$20,C425*$E$3/Formeln!$L$20)))</f>
        <v>xxx</v>
      </c>
      <c r="F425" s="139">
        <f>IF(Eingabe!$C$7="K",C425-D425+E425,SUM(C425:E425))</f>
        <v>0</v>
      </c>
    </row>
    <row r="426" spans="2:6" x14ac:dyDescent="0.25">
      <c r="B426" s="138" t="str">
        <f>IF(AND(Formeln!$I$11=2,B425&lt;$E$4/Formeln!$M$20),B425+1,IF(AND(Formeln!$I$11=1,B425&lt;$E$4*Formeln!$M$20),B425+1,"xxx"))</f>
        <v>xxx</v>
      </c>
      <c r="C426" s="139" t="str">
        <f t="shared" si="12"/>
        <v>xxx</v>
      </c>
      <c r="D426" s="139" t="str">
        <f t="shared" si="13"/>
        <v>xxx</v>
      </c>
      <c r="E426" s="139" t="str">
        <f>IF(D426="xxx","xxx",IF(AND($E$8=1,Eingabe!$C$7="S"),(C426+D426)*$E$3/Formeln!$L$20,IF(AND($E$8=1,Eingabe!$C$7="K"),(C426-D426)*$E$3/Formeln!$L$20,C426*$E$3/Formeln!$L$20)))</f>
        <v>xxx</v>
      </c>
      <c r="F426" s="139">
        <f>IF(Eingabe!$C$7="K",C426-D426+E426,SUM(C426:E426))</f>
        <v>0</v>
      </c>
    </row>
    <row r="427" spans="2:6" x14ac:dyDescent="0.25">
      <c r="B427" s="138" t="str">
        <f>IF(AND(Formeln!$I$11=2,B426&lt;$E$4/Formeln!$M$20),B426+1,IF(AND(Formeln!$I$11=1,B426&lt;$E$4*Formeln!$M$20),B426+1,"xxx"))</f>
        <v>xxx</v>
      </c>
      <c r="C427" s="139" t="str">
        <f t="shared" si="12"/>
        <v>xxx</v>
      </c>
      <c r="D427" s="139" t="str">
        <f t="shared" si="13"/>
        <v>xxx</v>
      </c>
      <c r="E427" s="139" t="str">
        <f>IF(D427="xxx","xxx",IF(AND($E$8=1,Eingabe!$C$7="S"),(C427+D427)*$E$3/Formeln!$L$20,IF(AND($E$8=1,Eingabe!$C$7="K"),(C427-D427)*$E$3/Formeln!$L$20,C427*$E$3/Formeln!$L$20)))</f>
        <v>xxx</v>
      </c>
      <c r="F427" s="139">
        <f>IF(Eingabe!$C$7="K",C427-D427+E427,SUM(C427:E427))</f>
        <v>0</v>
      </c>
    </row>
    <row r="428" spans="2:6" x14ac:dyDescent="0.25">
      <c r="B428" s="138" t="str">
        <f>IF(AND(Formeln!$I$11=2,B427&lt;$E$4/Formeln!$M$20),B427+1,IF(AND(Formeln!$I$11=1,B427&lt;$E$4*Formeln!$M$20),B427+1,"xxx"))</f>
        <v>xxx</v>
      </c>
      <c r="C428" s="139" t="str">
        <f t="shared" si="12"/>
        <v>xxx</v>
      </c>
      <c r="D428" s="139" t="str">
        <f t="shared" si="13"/>
        <v>xxx</v>
      </c>
      <c r="E428" s="139" t="str">
        <f>IF(D428="xxx","xxx",IF(AND($E$8=1,Eingabe!$C$7="S"),(C428+D428)*$E$3/Formeln!$L$20,IF(AND($E$8=1,Eingabe!$C$7="K"),(C428-D428)*$E$3/Formeln!$L$20,C428*$E$3/Formeln!$L$20)))</f>
        <v>xxx</v>
      </c>
      <c r="F428" s="139">
        <f>IF(Eingabe!$C$7="K",C428-D428+E428,SUM(C428:E428))</f>
        <v>0</v>
      </c>
    </row>
    <row r="429" spans="2:6" x14ac:dyDescent="0.25">
      <c r="B429" s="138" t="str">
        <f>IF(AND(Formeln!$I$11=2,B428&lt;$E$4/Formeln!$M$20),B428+1,IF(AND(Formeln!$I$11=1,B428&lt;$E$4*Formeln!$M$20),B428+1,"xxx"))</f>
        <v>xxx</v>
      </c>
      <c r="C429" s="139" t="str">
        <f t="shared" si="12"/>
        <v>xxx</v>
      </c>
      <c r="D429" s="139" t="str">
        <f t="shared" si="13"/>
        <v>xxx</v>
      </c>
      <c r="E429" s="139" t="str">
        <f>IF(D429="xxx","xxx",IF(AND($E$8=1,Eingabe!$C$7="S"),(C429+D429)*$E$3/Formeln!$L$20,IF(AND($E$8=1,Eingabe!$C$7="K"),(C429-D429)*$E$3/Formeln!$L$20,C429*$E$3/Formeln!$L$20)))</f>
        <v>xxx</v>
      </c>
      <c r="F429" s="139">
        <f>IF(Eingabe!$C$7="K",C429-D429+E429,SUM(C429:E429))</f>
        <v>0</v>
      </c>
    </row>
    <row r="430" spans="2:6" x14ac:dyDescent="0.25">
      <c r="B430" s="138" t="str">
        <f>IF(AND(Formeln!$I$11=2,B429&lt;$E$4/Formeln!$M$20),B429+1,IF(AND(Formeln!$I$11=1,B429&lt;$E$4*Formeln!$M$20),B429+1,"xxx"))</f>
        <v>xxx</v>
      </c>
      <c r="C430" s="139" t="str">
        <f t="shared" si="12"/>
        <v>xxx</v>
      </c>
      <c r="D430" s="139" t="str">
        <f t="shared" si="13"/>
        <v>xxx</v>
      </c>
      <c r="E430" s="139" t="str">
        <f>IF(D430="xxx","xxx",IF(AND($E$8=1,Eingabe!$C$7="S"),(C430+D430)*$E$3/Formeln!$L$20,IF(AND($E$8=1,Eingabe!$C$7="K"),(C430-D430)*$E$3/Formeln!$L$20,C430*$E$3/Formeln!$L$20)))</f>
        <v>xxx</v>
      </c>
      <c r="F430" s="139">
        <f>IF(Eingabe!$C$7="K",C430-D430+E430,SUM(C430:E430))</f>
        <v>0</v>
      </c>
    </row>
    <row r="431" spans="2:6" x14ac:dyDescent="0.25">
      <c r="B431" s="138" t="str">
        <f>IF(AND(Formeln!$I$11=2,B430&lt;$E$4/Formeln!$M$20),B430+1,IF(AND(Formeln!$I$11=1,B430&lt;$E$4*Formeln!$M$20),B430+1,"xxx"))</f>
        <v>xxx</v>
      </c>
      <c r="C431" s="139" t="str">
        <f t="shared" si="12"/>
        <v>xxx</v>
      </c>
      <c r="D431" s="139" t="str">
        <f t="shared" si="13"/>
        <v>xxx</v>
      </c>
      <c r="E431" s="139" t="str">
        <f>IF(D431="xxx","xxx",IF(AND($E$8=1,Eingabe!$C$7="S"),(C431+D431)*$E$3/Formeln!$L$20,IF(AND($E$8=1,Eingabe!$C$7="K"),(C431-D431)*$E$3/Formeln!$L$20,C431*$E$3/Formeln!$L$20)))</f>
        <v>xxx</v>
      </c>
      <c r="F431" s="139">
        <f>IF(Eingabe!$C$7="K",C431-D431+E431,SUM(C431:E431))</f>
        <v>0</v>
      </c>
    </row>
    <row r="432" spans="2:6" x14ac:dyDescent="0.25">
      <c r="B432" s="138" t="str">
        <f>IF(AND(Formeln!$I$11=2,B431&lt;$E$4/Formeln!$M$20),B431+1,IF(AND(Formeln!$I$11=1,B431&lt;$E$4*Formeln!$M$20),B431+1,"xxx"))</f>
        <v>xxx</v>
      </c>
      <c r="C432" s="139" t="str">
        <f t="shared" si="12"/>
        <v>xxx</v>
      </c>
      <c r="D432" s="139" t="str">
        <f t="shared" si="13"/>
        <v>xxx</v>
      </c>
      <c r="E432" s="139" t="str">
        <f>IF(D432="xxx","xxx",IF(AND($E$8=1,Eingabe!$C$7="S"),(C432+D432)*$E$3/Formeln!$L$20,IF(AND($E$8=1,Eingabe!$C$7="K"),(C432-D432)*$E$3/Formeln!$L$20,C432*$E$3/Formeln!$L$20)))</f>
        <v>xxx</v>
      </c>
      <c r="F432" s="139">
        <f>IF(Eingabe!$C$7="K",C432-D432+E432,SUM(C432:E432))</f>
        <v>0</v>
      </c>
    </row>
    <row r="433" spans="2:6" x14ac:dyDescent="0.25">
      <c r="B433" s="138" t="str">
        <f>IF(AND(Formeln!$I$11=2,B432&lt;$E$4/Formeln!$M$20),B432+1,IF(AND(Formeln!$I$11=1,B432&lt;$E$4*Formeln!$M$20),B432+1,"xxx"))</f>
        <v>xxx</v>
      </c>
      <c r="C433" s="139" t="str">
        <f t="shared" si="12"/>
        <v>xxx</v>
      </c>
      <c r="D433" s="139" t="str">
        <f t="shared" si="13"/>
        <v>xxx</v>
      </c>
      <c r="E433" s="139" t="str">
        <f>IF(D433="xxx","xxx",IF(AND($E$8=1,Eingabe!$C$7="S"),(C433+D433)*$E$3/Formeln!$L$20,IF(AND($E$8=1,Eingabe!$C$7="K"),(C433-D433)*$E$3/Formeln!$L$20,C433*$E$3/Formeln!$L$20)))</f>
        <v>xxx</v>
      </c>
      <c r="F433" s="139">
        <f>IF(Eingabe!$C$7="K",C433-D433+E433,SUM(C433:E433))</f>
        <v>0</v>
      </c>
    </row>
    <row r="434" spans="2:6" x14ac:dyDescent="0.25">
      <c r="B434" s="138" t="str">
        <f>IF(AND(Formeln!$I$11=2,B433&lt;$E$4/Formeln!$M$20),B433+1,IF(AND(Formeln!$I$11=1,B433&lt;$E$4*Formeln!$M$20),B433+1,"xxx"))</f>
        <v>xxx</v>
      </c>
      <c r="C434" s="139" t="str">
        <f t="shared" si="12"/>
        <v>xxx</v>
      </c>
      <c r="D434" s="139" t="str">
        <f t="shared" si="13"/>
        <v>xxx</v>
      </c>
      <c r="E434" s="139" t="str">
        <f>IF(D434="xxx","xxx",IF(AND($E$8=1,Eingabe!$C$7="S"),(C434+D434)*$E$3/Formeln!$L$20,IF(AND($E$8=1,Eingabe!$C$7="K"),(C434-D434)*$E$3/Formeln!$L$20,C434*$E$3/Formeln!$L$20)))</f>
        <v>xxx</v>
      </c>
      <c r="F434" s="139">
        <f>IF(Eingabe!$C$7="K",C434-D434+E434,SUM(C434:E434))</f>
        <v>0</v>
      </c>
    </row>
    <row r="435" spans="2:6" x14ac:dyDescent="0.25">
      <c r="B435" s="138" t="str">
        <f>IF(AND(Formeln!$I$11=2,B434&lt;$E$4/Formeln!$M$20),B434+1,IF(AND(Formeln!$I$11=1,B434&lt;$E$4*Formeln!$M$20),B434+1,"xxx"))</f>
        <v>xxx</v>
      </c>
      <c r="C435" s="139" t="str">
        <f t="shared" si="12"/>
        <v>xxx</v>
      </c>
      <c r="D435" s="139" t="str">
        <f t="shared" si="13"/>
        <v>xxx</v>
      </c>
      <c r="E435" s="139" t="str">
        <f>IF(D435="xxx","xxx",IF(AND($E$8=1,Eingabe!$C$7="S"),(C435+D435)*$E$3/Formeln!$L$20,IF(AND($E$8=1,Eingabe!$C$7="K"),(C435-D435)*$E$3/Formeln!$L$20,C435*$E$3/Formeln!$L$20)))</f>
        <v>xxx</v>
      </c>
      <c r="F435" s="139">
        <f>IF(Eingabe!$C$7="K",C435-D435+E435,SUM(C435:E435))</f>
        <v>0</v>
      </c>
    </row>
    <row r="436" spans="2:6" x14ac:dyDescent="0.25">
      <c r="B436" s="138" t="str">
        <f>IF(AND(Formeln!$I$11=2,B435&lt;$E$4/Formeln!$M$20),B435+1,IF(AND(Formeln!$I$11=1,B435&lt;$E$4*Formeln!$M$20),B435+1,"xxx"))</f>
        <v>xxx</v>
      </c>
      <c r="C436" s="139" t="str">
        <f t="shared" si="12"/>
        <v>xxx</v>
      </c>
      <c r="D436" s="139" t="str">
        <f t="shared" si="13"/>
        <v>xxx</v>
      </c>
      <c r="E436" s="139" t="str">
        <f>IF(D436="xxx","xxx",IF(AND($E$8=1,Eingabe!$C$7="S"),(C436+D436)*$E$3/Formeln!$L$20,IF(AND($E$8=1,Eingabe!$C$7="K"),(C436-D436)*$E$3/Formeln!$L$20,C436*$E$3/Formeln!$L$20)))</f>
        <v>xxx</v>
      </c>
      <c r="F436" s="139">
        <f>IF(Eingabe!$C$7="K",C436-D436+E436,SUM(C436:E436))</f>
        <v>0</v>
      </c>
    </row>
    <row r="437" spans="2:6" x14ac:dyDescent="0.25">
      <c r="B437" s="138" t="str">
        <f>IF(AND(Formeln!$I$11=2,B436&lt;$E$4/Formeln!$M$20),B436+1,IF(AND(Formeln!$I$11=1,B436&lt;$E$4*Formeln!$M$20),B436+1,"xxx"))</f>
        <v>xxx</v>
      </c>
      <c r="C437" s="139" t="str">
        <f t="shared" si="12"/>
        <v>xxx</v>
      </c>
      <c r="D437" s="139" t="str">
        <f t="shared" si="13"/>
        <v>xxx</v>
      </c>
      <c r="E437" s="139" t="str">
        <f>IF(D437="xxx","xxx",IF(AND($E$8=1,Eingabe!$C$7="S"),(C437+D437)*$E$3/Formeln!$L$20,IF(AND($E$8=1,Eingabe!$C$7="K"),(C437-D437)*$E$3/Formeln!$L$20,C437*$E$3/Formeln!$L$20)))</f>
        <v>xxx</v>
      </c>
      <c r="F437" s="139">
        <f>IF(Eingabe!$C$7="K",C437-D437+E437,SUM(C437:E437))</f>
        <v>0</v>
      </c>
    </row>
    <row r="438" spans="2:6" x14ac:dyDescent="0.25">
      <c r="B438" s="138" t="str">
        <f>IF(AND(Formeln!$I$11=2,B437&lt;$E$4/Formeln!$M$20),B437+1,IF(AND(Formeln!$I$11=1,B437&lt;$E$4*Formeln!$M$20),B437+1,"xxx"))</f>
        <v>xxx</v>
      </c>
      <c r="C438" s="139" t="str">
        <f t="shared" si="12"/>
        <v>xxx</v>
      </c>
      <c r="D438" s="139" t="str">
        <f t="shared" si="13"/>
        <v>xxx</v>
      </c>
      <c r="E438" s="139" t="str">
        <f>IF(D438="xxx","xxx",IF(AND($E$8=1,Eingabe!$C$7="S"),(C438+D438)*$E$3/Formeln!$L$20,IF(AND($E$8=1,Eingabe!$C$7="K"),(C438-D438)*$E$3/Formeln!$L$20,C438*$E$3/Formeln!$L$20)))</f>
        <v>xxx</v>
      </c>
      <c r="F438" s="139">
        <f>IF(Eingabe!$C$7="K",C438-D438+E438,SUM(C438:E438))</f>
        <v>0</v>
      </c>
    </row>
    <row r="439" spans="2:6" x14ac:dyDescent="0.25">
      <c r="B439" s="138" t="str">
        <f>IF(AND(Formeln!$I$11=2,B438&lt;$E$4/Formeln!$M$20),B438+1,IF(AND(Formeln!$I$11=1,B438&lt;$E$4*Formeln!$M$20),B438+1,"xxx"))</f>
        <v>xxx</v>
      </c>
      <c r="C439" s="139" t="str">
        <f t="shared" si="12"/>
        <v>xxx</v>
      </c>
      <c r="D439" s="139" t="str">
        <f t="shared" si="13"/>
        <v>xxx</v>
      </c>
      <c r="E439" s="139" t="str">
        <f>IF(D439="xxx","xxx",IF(AND($E$8=1,Eingabe!$C$7="S"),(C439+D439)*$E$3/Formeln!$L$20,IF(AND($E$8=1,Eingabe!$C$7="K"),(C439-D439)*$E$3/Formeln!$L$20,C439*$E$3/Formeln!$L$20)))</f>
        <v>xxx</v>
      </c>
      <c r="F439" s="139">
        <f>IF(Eingabe!$C$7="K",C439-D439+E439,SUM(C439:E439))</f>
        <v>0</v>
      </c>
    </row>
    <row r="440" spans="2:6" x14ac:dyDescent="0.25">
      <c r="B440" s="138" t="str">
        <f>IF(AND(Formeln!$I$11=2,B439&lt;$E$4/Formeln!$M$20),B439+1,IF(AND(Formeln!$I$11=1,B439&lt;$E$4*Formeln!$M$20),B439+1,"xxx"))</f>
        <v>xxx</v>
      </c>
      <c r="C440" s="139" t="str">
        <f t="shared" si="12"/>
        <v>xxx</v>
      </c>
      <c r="D440" s="139" t="str">
        <f t="shared" si="13"/>
        <v>xxx</v>
      </c>
      <c r="E440" s="139" t="str">
        <f>IF(D440="xxx","xxx",IF(AND($E$8=1,Eingabe!$C$7="S"),(C440+D440)*$E$3/Formeln!$L$20,IF(AND($E$8=1,Eingabe!$C$7="K"),(C440-D440)*$E$3/Formeln!$L$20,C440*$E$3/Formeln!$L$20)))</f>
        <v>xxx</v>
      </c>
      <c r="F440" s="139">
        <f>IF(Eingabe!$C$7="K",C440-D440+E440,SUM(C440:E440))</f>
        <v>0</v>
      </c>
    </row>
    <row r="441" spans="2:6" x14ac:dyDescent="0.25">
      <c r="B441" s="138" t="str">
        <f>IF(AND(Formeln!$I$11=2,B440&lt;$E$4/Formeln!$M$20),B440+1,IF(AND(Formeln!$I$11=1,B440&lt;$E$4*Formeln!$M$20),B440+1,"xxx"))</f>
        <v>xxx</v>
      </c>
      <c r="C441" s="139" t="str">
        <f t="shared" si="12"/>
        <v>xxx</v>
      </c>
      <c r="D441" s="139" t="str">
        <f t="shared" si="13"/>
        <v>xxx</v>
      </c>
      <c r="E441" s="139" t="str">
        <f>IF(D441="xxx","xxx",IF(AND($E$8=1,Eingabe!$C$7="S"),(C441+D441)*$E$3/Formeln!$L$20,IF(AND($E$8=1,Eingabe!$C$7="K"),(C441-D441)*$E$3/Formeln!$L$20,C441*$E$3/Formeln!$L$20)))</f>
        <v>xxx</v>
      </c>
      <c r="F441" s="139">
        <f>IF(Eingabe!$C$7="K",C441-D441+E441,SUM(C441:E441))</f>
        <v>0</v>
      </c>
    </row>
    <row r="442" spans="2:6" x14ac:dyDescent="0.25">
      <c r="B442" s="138" t="str">
        <f>IF(AND(Formeln!$I$11=2,B441&lt;$E$4/Formeln!$M$20),B441+1,IF(AND(Formeln!$I$11=1,B441&lt;$E$4*Formeln!$M$20),B441+1,"xxx"))</f>
        <v>xxx</v>
      </c>
      <c r="C442" s="139" t="str">
        <f t="shared" si="12"/>
        <v>xxx</v>
      </c>
      <c r="D442" s="139" t="str">
        <f t="shared" si="13"/>
        <v>xxx</v>
      </c>
      <c r="E442" s="139" t="str">
        <f>IF(D442="xxx","xxx",IF(AND($E$8=1,Eingabe!$C$7="S"),(C442+D442)*$E$3/Formeln!$L$20,IF(AND($E$8=1,Eingabe!$C$7="K"),(C442-D442)*$E$3/Formeln!$L$20,C442*$E$3/Formeln!$L$20)))</f>
        <v>xxx</v>
      </c>
      <c r="F442" s="139">
        <f>IF(Eingabe!$C$7="K",C442-D442+E442,SUM(C442:E442))</f>
        <v>0</v>
      </c>
    </row>
    <row r="443" spans="2:6" x14ac:dyDescent="0.25">
      <c r="B443" s="138" t="str">
        <f>IF(AND(Formeln!$I$11=2,B442&lt;$E$4/Formeln!$M$20),B442+1,IF(AND(Formeln!$I$11=1,B442&lt;$E$4*Formeln!$M$20),B442+1,"xxx"))</f>
        <v>xxx</v>
      </c>
      <c r="C443" s="139" t="str">
        <f t="shared" si="12"/>
        <v>xxx</v>
      </c>
      <c r="D443" s="139" t="str">
        <f t="shared" si="13"/>
        <v>xxx</v>
      </c>
      <c r="E443" s="139" t="str">
        <f>IF(D443="xxx","xxx",IF(AND($E$8=1,Eingabe!$C$7="S"),(C443+D443)*$E$3/Formeln!$L$20,IF(AND($E$8=1,Eingabe!$C$7="K"),(C443-D443)*$E$3/Formeln!$L$20,C443*$E$3/Formeln!$L$20)))</f>
        <v>xxx</v>
      </c>
      <c r="F443" s="139">
        <f>IF(Eingabe!$C$7="K",C443-D443+E443,SUM(C443:E443))</f>
        <v>0</v>
      </c>
    </row>
    <row r="444" spans="2:6" x14ac:dyDescent="0.25">
      <c r="B444" s="138" t="str">
        <f>IF(AND(Formeln!$I$11=2,B443&lt;$E$4/Formeln!$M$20),B443+1,IF(AND(Formeln!$I$11=1,B443&lt;$E$4*Formeln!$M$20),B443+1,"xxx"))</f>
        <v>xxx</v>
      </c>
      <c r="C444" s="139" t="str">
        <f t="shared" si="12"/>
        <v>xxx</v>
      </c>
      <c r="D444" s="139" t="str">
        <f t="shared" si="13"/>
        <v>xxx</v>
      </c>
      <c r="E444" s="139" t="str">
        <f>IF(D444="xxx","xxx",IF(AND($E$8=1,Eingabe!$C$7="S"),(C444+D444)*$E$3/Formeln!$L$20,IF(AND($E$8=1,Eingabe!$C$7="K"),(C444-D444)*$E$3/Formeln!$L$20,C444*$E$3/Formeln!$L$20)))</f>
        <v>xxx</v>
      </c>
      <c r="F444" s="139">
        <f>IF(Eingabe!$C$7="K",C444-D444+E444,SUM(C444:E444))</f>
        <v>0</v>
      </c>
    </row>
    <row r="445" spans="2:6" x14ac:dyDescent="0.25">
      <c r="B445" s="138" t="str">
        <f>IF(AND(Formeln!$I$11=2,B444&lt;$E$4/Formeln!$M$20),B444+1,IF(AND(Formeln!$I$11=1,B444&lt;$E$4*Formeln!$M$20),B444+1,"xxx"))</f>
        <v>xxx</v>
      </c>
      <c r="C445" s="139" t="str">
        <f t="shared" si="12"/>
        <v>xxx</v>
      </c>
      <c r="D445" s="139" t="str">
        <f t="shared" si="13"/>
        <v>xxx</v>
      </c>
      <c r="E445" s="139" t="str">
        <f>IF(D445="xxx","xxx",IF(AND($E$8=1,Eingabe!$C$7="S"),(C445+D445)*$E$3/Formeln!$L$20,IF(AND($E$8=1,Eingabe!$C$7="K"),(C445-D445)*$E$3/Formeln!$L$20,C445*$E$3/Formeln!$L$20)))</f>
        <v>xxx</v>
      </c>
      <c r="F445" s="139">
        <f>IF(Eingabe!$C$7="K",C445-D445+E445,SUM(C445:E445))</f>
        <v>0</v>
      </c>
    </row>
    <row r="446" spans="2:6" x14ac:dyDescent="0.25">
      <c r="B446" s="138" t="str">
        <f>IF(AND(Formeln!$I$11=2,B445&lt;$E$4/Formeln!$M$20),B445+1,IF(AND(Formeln!$I$11=1,B445&lt;$E$4*Formeln!$M$20),B445+1,"xxx"))</f>
        <v>xxx</v>
      </c>
      <c r="C446" s="139" t="str">
        <f t="shared" si="12"/>
        <v>xxx</v>
      </c>
      <c r="D446" s="139" t="str">
        <f t="shared" si="13"/>
        <v>xxx</v>
      </c>
      <c r="E446" s="139" t="str">
        <f>IF(D446="xxx","xxx",IF(AND($E$8=1,Eingabe!$C$7="S"),(C446+D446)*$E$3/Formeln!$L$20,IF(AND($E$8=1,Eingabe!$C$7="K"),(C446-D446)*$E$3/Formeln!$L$20,C446*$E$3/Formeln!$L$20)))</f>
        <v>xxx</v>
      </c>
      <c r="F446" s="139">
        <f>IF(Eingabe!$C$7="K",C446-D446+E446,SUM(C446:E446))</f>
        <v>0</v>
      </c>
    </row>
    <row r="447" spans="2:6" x14ac:dyDescent="0.25">
      <c r="B447" s="138" t="str">
        <f>IF(AND(Formeln!$I$11=2,B446&lt;$E$4/Formeln!$M$20),B446+1,IF(AND(Formeln!$I$11=1,B446&lt;$E$4*Formeln!$M$20),B446+1,"xxx"))</f>
        <v>xxx</v>
      </c>
      <c r="C447" s="139" t="str">
        <f t="shared" si="12"/>
        <v>xxx</v>
      </c>
      <c r="D447" s="139" t="str">
        <f t="shared" si="13"/>
        <v>xxx</v>
      </c>
      <c r="E447" s="139" t="str">
        <f>IF(D447="xxx","xxx",IF(AND($E$8=1,Eingabe!$C$7="S"),(C447+D447)*$E$3/Formeln!$L$20,IF(AND($E$8=1,Eingabe!$C$7="K"),(C447-D447)*$E$3/Formeln!$L$20,C447*$E$3/Formeln!$L$20)))</f>
        <v>xxx</v>
      </c>
      <c r="F447" s="139">
        <f>IF(Eingabe!$C$7="K",C447-D447+E447,SUM(C447:E447))</f>
        <v>0</v>
      </c>
    </row>
    <row r="448" spans="2:6" x14ac:dyDescent="0.25">
      <c r="B448" s="138" t="str">
        <f>IF(AND(Formeln!$I$11=2,B447&lt;$E$4/Formeln!$M$20),B447+1,IF(AND(Formeln!$I$11=1,B447&lt;$E$4*Formeln!$M$20),B447+1,"xxx"))</f>
        <v>xxx</v>
      </c>
      <c r="C448" s="139" t="str">
        <f t="shared" si="12"/>
        <v>xxx</v>
      </c>
      <c r="D448" s="139" t="str">
        <f t="shared" si="13"/>
        <v>xxx</v>
      </c>
      <c r="E448" s="139" t="str">
        <f>IF(D448="xxx","xxx",IF(AND($E$8=1,Eingabe!$C$7="S"),(C448+D448)*$E$3/Formeln!$L$20,IF(AND($E$8=1,Eingabe!$C$7="K"),(C448-D448)*$E$3/Formeln!$L$20,C448*$E$3/Formeln!$L$20)))</f>
        <v>xxx</v>
      </c>
      <c r="F448" s="139">
        <f>IF(Eingabe!$C$7="K",C448-D448+E448,SUM(C448:E448))</f>
        <v>0</v>
      </c>
    </row>
    <row r="449" spans="2:6" x14ac:dyDescent="0.25">
      <c r="B449" s="138" t="str">
        <f>IF(AND(Formeln!$I$11=2,B448&lt;$E$4/Formeln!$M$20),B448+1,IF(AND(Formeln!$I$11=1,B448&lt;$E$4*Formeln!$M$20),B448+1,"xxx"))</f>
        <v>xxx</v>
      </c>
      <c r="C449" s="139" t="str">
        <f t="shared" si="12"/>
        <v>xxx</v>
      </c>
      <c r="D449" s="139" t="str">
        <f t="shared" si="13"/>
        <v>xxx</v>
      </c>
      <c r="E449" s="139" t="str">
        <f>IF(D449="xxx","xxx",IF(AND($E$8=1,Eingabe!$C$7="S"),(C449+D449)*$E$3/Formeln!$L$20,IF(AND($E$8=1,Eingabe!$C$7="K"),(C449-D449)*$E$3/Formeln!$L$20,C449*$E$3/Formeln!$L$20)))</f>
        <v>xxx</v>
      </c>
      <c r="F449" s="139">
        <f>IF(Eingabe!$C$7="K",C449-D449+E449,SUM(C449:E449))</f>
        <v>0</v>
      </c>
    </row>
    <row r="450" spans="2:6" x14ac:dyDescent="0.25">
      <c r="B450" s="138" t="str">
        <f>IF(AND(Formeln!$I$11=2,B449&lt;$E$4/Formeln!$M$20),B449+1,IF(AND(Formeln!$I$11=1,B449&lt;$E$4*Formeln!$M$20),B449+1,"xxx"))</f>
        <v>xxx</v>
      </c>
      <c r="C450" s="139" t="str">
        <f t="shared" si="12"/>
        <v>xxx</v>
      </c>
      <c r="D450" s="139" t="str">
        <f t="shared" si="13"/>
        <v>xxx</v>
      </c>
      <c r="E450" s="139" t="str">
        <f>IF(D450="xxx","xxx",IF(AND($E$8=1,Eingabe!$C$7="S"),(C450+D450)*$E$3/Formeln!$L$20,IF(AND($E$8=1,Eingabe!$C$7="K"),(C450-D450)*$E$3/Formeln!$L$20,C450*$E$3/Formeln!$L$20)))</f>
        <v>xxx</v>
      </c>
      <c r="F450" s="139">
        <f>IF(Eingabe!$C$7="K",C450-D450+E450,SUM(C450:E450))</f>
        <v>0</v>
      </c>
    </row>
    <row r="451" spans="2:6" x14ac:dyDescent="0.25">
      <c r="B451" s="138" t="str">
        <f>IF(AND(Formeln!$I$11=2,B450&lt;$E$4/Formeln!$M$20),B450+1,IF(AND(Formeln!$I$11=1,B450&lt;$E$4*Formeln!$M$20),B450+1,"xxx"))</f>
        <v>xxx</v>
      </c>
      <c r="C451" s="139" t="str">
        <f t="shared" si="12"/>
        <v>xxx</v>
      </c>
      <c r="D451" s="139" t="str">
        <f t="shared" si="13"/>
        <v>xxx</v>
      </c>
      <c r="E451" s="139" t="str">
        <f>IF(D451="xxx","xxx",IF(AND($E$8=1,Eingabe!$C$7="S"),(C451+D451)*$E$3/Formeln!$L$20,IF(AND($E$8=1,Eingabe!$C$7="K"),(C451-D451)*$E$3/Formeln!$L$20,C451*$E$3/Formeln!$L$20)))</f>
        <v>xxx</v>
      </c>
      <c r="F451" s="139">
        <f>IF(Eingabe!$C$7="K",C451-D451+E451,SUM(C451:E451))</f>
        <v>0</v>
      </c>
    </row>
    <row r="452" spans="2:6" x14ac:dyDescent="0.25">
      <c r="B452" s="138" t="str">
        <f>IF(AND(Formeln!$I$11=2,B451&lt;$E$4/Formeln!$M$20),B451+1,IF(AND(Formeln!$I$11=1,B451&lt;$E$4*Formeln!$M$20),B451+1,"xxx"))</f>
        <v>xxx</v>
      </c>
      <c r="C452" s="139" t="str">
        <f t="shared" si="12"/>
        <v>xxx</v>
      </c>
      <c r="D452" s="139" t="str">
        <f t="shared" si="13"/>
        <v>xxx</v>
      </c>
      <c r="E452" s="139" t="str">
        <f>IF(D452="xxx","xxx",IF(AND($E$8=1,Eingabe!$C$7="S"),(C452+D452)*$E$3/Formeln!$L$20,IF(AND($E$8=1,Eingabe!$C$7="K"),(C452-D452)*$E$3/Formeln!$L$20,C452*$E$3/Formeln!$L$20)))</f>
        <v>xxx</v>
      </c>
      <c r="F452" s="139">
        <f>IF(Eingabe!$C$7="K",C452-D452+E452,SUM(C452:E452))</f>
        <v>0</v>
      </c>
    </row>
    <row r="453" spans="2:6" x14ac:dyDescent="0.25">
      <c r="B453" s="138" t="str">
        <f>IF(AND(Formeln!$I$11=2,B452&lt;$E$4/Formeln!$M$20),B452+1,IF(AND(Formeln!$I$11=1,B452&lt;$E$4*Formeln!$M$20),B452+1,"xxx"))</f>
        <v>xxx</v>
      </c>
      <c r="C453" s="139" t="str">
        <f t="shared" si="12"/>
        <v>xxx</v>
      </c>
      <c r="D453" s="139" t="str">
        <f t="shared" si="13"/>
        <v>xxx</v>
      </c>
      <c r="E453" s="139" t="str">
        <f>IF(D453="xxx","xxx",IF(AND($E$8=1,Eingabe!$C$7="S"),(C453+D453)*$E$3/Formeln!$L$20,IF(AND($E$8=1,Eingabe!$C$7="K"),(C453-D453)*$E$3/Formeln!$L$20,C453*$E$3/Formeln!$L$20)))</f>
        <v>xxx</v>
      </c>
      <c r="F453" s="139">
        <f>IF(Eingabe!$C$7="K",C453-D453+E453,SUM(C453:E453))</f>
        <v>0</v>
      </c>
    </row>
    <row r="454" spans="2:6" x14ac:dyDescent="0.25">
      <c r="B454" s="138" t="str">
        <f>IF(AND(Formeln!$I$11=2,B453&lt;$E$4/Formeln!$M$20),B453+1,IF(AND(Formeln!$I$11=1,B453&lt;$E$4*Formeln!$M$20),B453+1,"xxx"))</f>
        <v>xxx</v>
      </c>
      <c r="C454" s="139" t="str">
        <f t="shared" si="12"/>
        <v>xxx</v>
      </c>
      <c r="D454" s="139" t="str">
        <f t="shared" si="13"/>
        <v>xxx</v>
      </c>
      <c r="E454" s="139" t="str">
        <f>IF(D454="xxx","xxx",IF(AND($E$8=1,Eingabe!$C$7="S"),(C454+D454)*$E$3/Formeln!$L$20,IF(AND($E$8=1,Eingabe!$C$7="K"),(C454-D454)*$E$3/Formeln!$L$20,C454*$E$3/Formeln!$L$20)))</f>
        <v>xxx</v>
      </c>
      <c r="F454" s="139">
        <f>IF(Eingabe!$C$7="K",C454-D454+E454,SUM(C454:E454))</f>
        <v>0</v>
      </c>
    </row>
    <row r="455" spans="2:6" x14ac:dyDescent="0.25">
      <c r="B455" s="138" t="str">
        <f>IF(AND(Formeln!$I$11=2,B454&lt;$E$4/Formeln!$M$20),B454+1,IF(AND(Formeln!$I$11=1,B454&lt;$E$4*Formeln!$M$20),B454+1,"xxx"))</f>
        <v>xxx</v>
      </c>
      <c r="C455" s="139" t="str">
        <f t="shared" si="12"/>
        <v>xxx</v>
      </c>
      <c r="D455" s="139" t="str">
        <f t="shared" si="13"/>
        <v>xxx</v>
      </c>
      <c r="E455" s="139" t="str">
        <f>IF(D455="xxx","xxx",IF(AND($E$8=1,Eingabe!$C$7="S"),(C455+D455)*$E$3/Formeln!$L$20,IF(AND($E$8=1,Eingabe!$C$7="K"),(C455-D455)*$E$3/Formeln!$L$20,C455*$E$3/Formeln!$L$20)))</f>
        <v>xxx</v>
      </c>
      <c r="F455" s="139">
        <f>IF(Eingabe!$C$7="K",C455-D455+E455,SUM(C455:E455))</f>
        <v>0</v>
      </c>
    </row>
    <row r="456" spans="2:6" x14ac:dyDescent="0.25">
      <c r="B456" s="138" t="str">
        <f>IF(AND(Formeln!$I$11=2,B455&lt;$E$4/Formeln!$M$20),B455+1,IF(AND(Formeln!$I$11=1,B455&lt;$E$4*Formeln!$M$20),B455+1,"xxx"))</f>
        <v>xxx</v>
      </c>
      <c r="C456" s="139" t="str">
        <f t="shared" si="12"/>
        <v>xxx</v>
      </c>
      <c r="D456" s="139" t="str">
        <f t="shared" si="13"/>
        <v>xxx</v>
      </c>
      <c r="E456" s="139" t="str">
        <f>IF(D456="xxx","xxx",IF(AND($E$8=1,Eingabe!$C$7="S"),(C456+D456)*$E$3/Formeln!$L$20,IF(AND($E$8=1,Eingabe!$C$7="K"),(C456-D456)*$E$3/Formeln!$L$20,C456*$E$3/Formeln!$L$20)))</f>
        <v>xxx</v>
      </c>
      <c r="F456" s="139">
        <f>IF(Eingabe!$C$7="K",C456-D456+E456,SUM(C456:E456))</f>
        <v>0</v>
      </c>
    </row>
    <row r="457" spans="2:6" x14ac:dyDescent="0.25">
      <c r="B457" s="138" t="str">
        <f>IF(AND(Formeln!$I$11=2,B456&lt;$E$4/Formeln!$M$20),B456+1,IF(AND(Formeln!$I$11=1,B456&lt;$E$4*Formeln!$M$20),B456+1,"xxx"))</f>
        <v>xxx</v>
      </c>
      <c r="C457" s="139" t="str">
        <f t="shared" si="12"/>
        <v>xxx</v>
      </c>
      <c r="D457" s="139" t="str">
        <f t="shared" si="13"/>
        <v>xxx</v>
      </c>
      <c r="E457" s="139" t="str">
        <f>IF(D457="xxx","xxx",IF(AND($E$8=1,Eingabe!$C$7="S"),(C457+D457)*$E$3/Formeln!$L$20,IF(AND($E$8=1,Eingabe!$C$7="K"),(C457-D457)*$E$3/Formeln!$L$20,C457*$E$3/Formeln!$L$20)))</f>
        <v>xxx</v>
      </c>
      <c r="F457" s="139">
        <f>IF(Eingabe!$C$7="K",C457-D457+E457,SUM(C457:E457))</f>
        <v>0</v>
      </c>
    </row>
    <row r="458" spans="2:6" x14ac:dyDescent="0.25">
      <c r="B458" s="138" t="str">
        <f>IF(AND(Formeln!$I$11=2,B457&lt;$E$4/Formeln!$M$20),B457+1,IF(AND(Formeln!$I$11=1,B457&lt;$E$4*Formeln!$M$20),B457+1,"xxx"))</f>
        <v>xxx</v>
      </c>
      <c r="C458" s="139" t="str">
        <f t="shared" si="12"/>
        <v>xxx</v>
      </c>
      <c r="D458" s="139" t="str">
        <f t="shared" si="13"/>
        <v>xxx</v>
      </c>
      <c r="E458" s="139" t="str">
        <f>IF(D458="xxx","xxx",IF(AND($E$8=1,Eingabe!$C$7="S"),(C458+D458)*$E$3/Formeln!$L$20,IF(AND($E$8=1,Eingabe!$C$7="K"),(C458-D458)*$E$3/Formeln!$L$20,C458*$E$3/Formeln!$L$20)))</f>
        <v>xxx</v>
      </c>
      <c r="F458" s="139">
        <f>IF(Eingabe!$C$7="K",C458-D458+E458,SUM(C458:E458))</f>
        <v>0</v>
      </c>
    </row>
    <row r="459" spans="2:6" x14ac:dyDescent="0.25">
      <c r="B459" s="138" t="str">
        <f>IF(AND(Formeln!$I$11=2,B458&lt;$E$4/Formeln!$M$20),B458+1,IF(AND(Formeln!$I$11=1,B458&lt;$E$4*Formeln!$M$20),B458+1,"xxx"))</f>
        <v>xxx</v>
      </c>
      <c r="C459" s="139" t="str">
        <f t="shared" si="12"/>
        <v>xxx</v>
      </c>
      <c r="D459" s="139" t="str">
        <f t="shared" si="13"/>
        <v>xxx</v>
      </c>
      <c r="E459" s="139" t="str">
        <f>IF(D459="xxx","xxx",IF(AND($E$8=1,Eingabe!$C$7="S"),(C459+D459)*$E$3/Formeln!$L$20,IF(AND($E$8=1,Eingabe!$C$7="K"),(C459-D459)*$E$3/Formeln!$L$20,C459*$E$3/Formeln!$L$20)))</f>
        <v>xxx</v>
      </c>
      <c r="F459" s="139">
        <f>IF(Eingabe!$C$7="K",C459-D459+E459,SUM(C459:E459))</f>
        <v>0</v>
      </c>
    </row>
    <row r="460" spans="2:6" x14ac:dyDescent="0.25">
      <c r="B460" s="138" t="str">
        <f>IF(AND(Formeln!$I$11=2,B459&lt;$E$4/Formeln!$M$20),B459+1,IF(AND(Formeln!$I$11=1,B459&lt;$E$4*Formeln!$M$20),B459+1,"xxx"))</f>
        <v>xxx</v>
      </c>
      <c r="C460" s="139" t="str">
        <f t="shared" si="12"/>
        <v>xxx</v>
      </c>
      <c r="D460" s="139" t="str">
        <f t="shared" si="13"/>
        <v>xxx</v>
      </c>
      <c r="E460" s="139" t="str">
        <f>IF(D460="xxx","xxx",IF(AND($E$8=1,Eingabe!$C$7="S"),(C460+D460)*$E$3/Formeln!$L$20,IF(AND($E$8=1,Eingabe!$C$7="K"),(C460-D460)*$E$3/Formeln!$L$20,C460*$E$3/Formeln!$L$20)))</f>
        <v>xxx</v>
      </c>
      <c r="F460" s="139">
        <f>IF(Eingabe!$C$7="K",C460-D460+E460,SUM(C460:E460))</f>
        <v>0</v>
      </c>
    </row>
    <row r="461" spans="2:6" x14ac:dyDescent="0.25">
      <c r="B461" s="138" t="str">
        <f>IF(AND(Formeln!$I$11=2,B460&lt;$E$4/Formeln!$M$20),B460+1,IF(AND(Formeln!$I$11=1,B460&lt;$E$4*Formeln!$M$20),B460+1,"xxx"))</f>
        <v>xxx</v>
      </c>
      <c r="C461" s="139" t="str">
        <f t="shared" ref="C461:C524" si="14">IF(B461="xxx","xxx",F460)</f>
        <v>xxx</v>
      </c>
      <c r="D461" s="139" t="str">
        <f t="shared" ref="D461:D524" si="15">IF(C461="xxx","xxx",D460)</f>
        <v>xxx</v>
      </c>
      <c r="E461" s="139" t="str">
        <f>IF(D461="xxx","xxx",IF(AND($E$8=1,Eingabe!$C$7="S"),(C461+D461)*$E$3/Formeln!$L$20,IF(AND($E$8=1,Eingabe!$C$7="K"),(C461-D461)*$E$3/Formeln!$L$20,C461*$E$3/Formeln!$L$20)))</f>
        <v>xxx</v>
      </c>
      <c r="F461" s="139">
        <f>IF(Eingabe!$C$7="K",C461-D461+E461,SUM(C461:E461))</f>
        <v>0</v>
      </c>
    </row>
    <row r="462" spans="2:6" x14ac:dyDescent="0.25">
      <c r="B462" s="138" t="str">
        <f>IF(AND(Formeln!$I$11=2,B461&lt;$E$4/Formeln!$M$20),B461+1,IF(AND(Formeln!$I$11=1,B461&lt;$E$4*Formeln!$M$20),B461+1,"xxx"))</f>
        <v>xxx</v>
      </c>
      <c r="C462" s="139" t="str">
        <f t="shared" si="14"/>
        <v>xxx</v>
      </c>
      <c r="D462" s="139" t="str">
        <f t="shared" si="15"/>
        <v>xxx</v>
      </c>
      <c r="E462" s="139" t="str">
        <f>IF(D462="xxx","xxx",IF(AND($E$8=1,Eingabe!$C$7="S"),(C462+D462)*$E$3/Formeln!$L$20,IF(AND($E$8=1,Eingabe!$C$7="K"),(C462-D462)*$E$3/Formeln!$L$20,C462*$E$3/Formeln!$L$20)))</f>
        <v>xxx</v>
      </c>
      <c r="F462" s="139">
        <f>IF(Eingabe!$C$7="K",C462-D462+E462,SUM(C462:E462))</f>
        <v>0</v>
      </c>
    </row>
    <row r="463" spans="2:6" x14ac:dyDescent="0.25">
      <c r="B463" s="138" t="str">
        <f>IF(AND(Formeln!$I$11=2,B462&lt;$E$4/Formeln!$M$20),B462+1,IF(AND(Formeln!$I$11=1,B462&lt;$E$4*Formeln!$M$20),B462+1,"xxx"))</f>
        <v>xxx</v>
      </c>
      <c r="C463" s="139" t="str">
        <f t="shared" si="14"/>
        <v>xxx</v>
      </c>
      <c r="D463" s="139" t="str">
        <f t="shared" si="15"/>
        <v>xxx</v>
      </c>
      <c r="E463" s="139" t="str">
        <f>IF(D463="xxx","xxx",IF(AND($E$8=1,Eingabe!$C$7="S"),(C463+D463)*$E$3/Formeln!$L$20,IF(AND($E$8=1,Eingabe!$C$7="K"),(C463-D463)*$E$3/Formeln!$L$20,C463*$E$3/Formeln!$L$20)))</f>
        <v>xxx</v>
      </c>
      <c r="F463" s="139">
        <f>IF(Eingabe!$C$7="K",C463-D463+E463,SUM(C463:E463))</f>
        <v>0</v>
      </c>
    </row>
    <row r="464" spans="2:6" x14ac:dyDescent="0.25">
      <c r="B464" s="138" t="str">
        <f>IF(AND(Formeln!$I$11=2,B463&lt;$E$4/Formeln!$M$20),B463+1,IF(AND(Formeln!$I$11=1,B463&lt;$E$4*Formeln!$M$20),B463+1,"xxx"))</f>
        <v>xxx</v>
      </c>
      <c r="C464" s="139" t="str">
        <f t="shared" si="14"/>
        <v>xxx</v>
      </c>
      <c r="D464" s="139" t="str">
        <f t="shared" si="15"/>
        <v>xxx</v>
      </c>
      <c r="E464" s="139" t="str">
        <f>IF(D464="xxx","xxx",IF(AND($E$8=1,Eingabe!$C$7="S"),(C464+D464)*$E$3/Formeln!$L$20,IF(AND($E$8=1,Eingabe!$C$7="K"),(C464-D464)*$E$3/Formeln!$L$20,C464*$E$3/Formeln!$L$20)))</f>
        <v>xxx</v>
      </c>
      <c r="F464" s="139">
        <f>IF(Eingabe!$C$7="K",C464-D464+E464,SUM(C464:E464))</f>
        <v>0</v>
      </c>
    </row>
    <row r="465" spans="2:6" x14ac:dyDescent="0.25">
      <c r="B465" s="138" t="str">
        <f>IF(AND(Formeln!$I$11=2,B464&lt;$E$4/Formeln!$M$20),B464+1,IF(AND(Formeln!$I$11=1,B464&lt;$E$4*Formeln!$M$20),B464+1,"xxx"))</f>
        <v>xxx</v>
      </c>
      <c r="C465" s="139" t="str">
        <f t="shared" si="14"/>
        <v>xxx</v>
      </c>
      <c r="D465" s="139" t="str">
        <f t="shared" si="15"/>
        <v>xxx</v>
      </c>
      <c r="E465" s="139" t="str">
        <f>IF(D465="xxx","xxx",IF(AND($E$8=1,Eingabe!$C$7="S"),(C465+D465)*$E$3/Formeln!$L$20,IF(AND($E$8=1,Eingabe!$C$7="K"),(C465-D465)*$E$3/Formeln!$L$20,C465*$E$3/Formeln!$L$20)))</f>
        <v>xxx</v>
      </c>
      <c r="F465" s="139">
        <f>IF(Eingabe!$C$7="K",C465-D465+E465,SUM(C465:E465))</f>
        <v>0</v>
      </c>
    </row>
    <row r="466" spans="2:6" x14ac:dyDescent="0.25">
      <c r="B466" s="138" t="str">
        <f>IF(AND(Formeln!$I$11=2,B465&lt;$E$4/Formeln!$M$20),B465+1,IF(AND(Formeln!$I$11=1,B465&lt;$E$4*Formeln!$M$20),B465+1,"xxx"))</f>
        <v>xxx</v>
      </c>
      <c r="C466" s="139" t="str">
        <f t="shared" si="14"/>
        <v>xxx</v>
      </c>
      <c r="D466" s="139" t="str">
        <f t="shared" si="15"/>
        <v>xxx</v>
      </c>
      <c r="E466" s="139" t="str">
        <f>IF(D466="xxx","xxx",IF(AND($E$8=1,Eingabe!$C$7="S"),(C466+D466)*$E$3/Formeln!$L$20,IF(AND($E$8=1,Eingabe!$C$7="K"),(C466-D466)*$E$3/Formeln!$L$20,C466*$E$3/Formeln!$L$20)))</f>
        <v>xxx</v>
      </c>
      <c r="F466" s="139">
        <f>IF(Eingabe!$C$7="K",C466-D466+E466,SUM(C466:E466))</f>
        <v>0</v>
      </c>
    </row>
    <row r="467" spans="2:6" x14ac:dyDescent="0.25">
      <c r="B467" s="138" t="str">
        <f>IF(AND(Formeln!$I$11=2,B466&lt;$E$4/Formeln!$M$20),B466+1,IF(AND(Formeln!$I$11=1,B466&lt;$E$4*Formeln!$M$20),B466+1,"xxx"))</f>
        <v>xxx</v>
      </c>
      <c r="C467" s="139" t="str">
        <f t="shared" si="14"/>
        <v>xxx</v>
      </c>
      <c r="D467" s="139" t="str">
        <f t="shared" si="15"/>
        <v>xxx</v>
      </c>
      <c r="E467" s="139" t="str">
        <f>IF(D467="xxx","xxx",IF(AND($E$8=1,Eingabe!$C$7="S"),(C467+D467)*$E$3/Formeln!$L$20,IF(AND($E$8=1,Eingabe!$C$7="K"),(C467-D467)*$E$3/Formeln!$L$20,C467*$E$3/Formeln!$L$20)))</f>
        <v>xxx</v>
      </c>
      <c r="F467" s="139">
        <f>IF(Eingabe!$C$7="K",C467-D467+E467,SUM(C467:E467))</f>
        <v>0</v>
      </c>
    </row>
    <row r="468" spans="2:6" x14ac:dyDescent="0.25">
      <c r="B468" s="138" t="str">
        <f>IF(AND(Formeln!$I$11=2,B467&lt;$E$4/Formeln!$M$20),B467+1,IF(AND(Formeln!$I$11=1,B467&lt;$E$4*Formeln!$M$20),B467+1,"xxx"))</f>
        <v>xxx</v>
      </c>
      <c r="C468" s="139" t="str">
        <f t="shared" si="14"/>
        <v>xxx</v>
      </c>
      <c r="D468" s="139" t="str">
        <f t="shared" si="15"/>
        <v>xxx</v>
      </c>
      <c r="E468" s="139" t="str">
        <f>IF(D468="xxx","xxx",IF(AND($E$8=1,Eingabe!$C$7="S"),(C468+D468)*$E$3/Formeln!$L$20,IF(AND($E$8=1,Eingabe!$C$7="K"),(C468-D468)*$E$3/Formeln!$L$20,C468*$E$3/Formeln!$L$20)))</f>
        <v>xxx</v>
      </c>
      <c r="F468" s="139">
        <f>IF(Eingabe!$C$7="K",C468-D468+E468,SUM(C468:E468))</f>
        <v>0</v>
      </c>
    </row>
    <row r="469" spans="2:6" x14ac:dyDescent="0.25">
      <c r="B469" s="138" t="str">
        <f>IF(AND(Formeln!$I$11=2,B468&lt;$E$4/Formeln!$M$20),B468+1,IF(AND(Formeln!$I$11=1,B468&lt;$E$4*Formeln!$M$20),B468+1,"xxx"))</f>
        <v>xxx</v>
      </c>
      <c r="C469" s="139" t="str">
        <f t="shared" si="14"/>
        <v>xxx</v>
      </c>
      <c r="D469" s="139" t="str">
        <f t="shared" si="15"/>
        <v>xxx</v>
      </c>
      <c r="E469" s="139" t="str">
        <f>IF(D469="xxx","xxx",IF(AND($E$8=1,Eingabe!$C$7="S"),(C469+D469)*$E$3/Formeln!$L$20,IF(AND($E$8=1,Eingabe!$C$7="K"),(C469-D469)*$E$3/Formeln!$L$20,C469*$E$3/Formeln!$L$20)))</f>
        <v>xxx</v>
      </c>
      <c r="F469" s="139">
        <f>IF(Eingabe!$C$7="K",C469-D469+E469,SUM(C469:E469))</f>
        <v>0</v>
      </c>
    </row>
    <row r="470" spans="2:6" x14ac:dyDescent="0.25">
      <c r="B470" s="138" t="str">
        <f>IF(AND(Formeln!$I$11=2,B469&lt;$E$4/Formeln!$M$20),B469+1,IF(AND(Formeln!$I$11=1,B469&lt;$E$4*Formeln!$M$20),B469+1,"xxx"))</f>
        <v>xxx</v>
      </c>
      <c r="C470" s="139" t="str">
        <f t="shared" si="14"/>
        <v>xxx</v>
      </c>
      <c r="D470" s="139" t="str">
        <f t="shared" si="15"/>
        <v>xxx</v>
      </c>
      <c r="E470" s="139" t="str">
        <f>IF(D470="xxx","xxx",IF(AND($E$8=1,Eingabe!$C$7="S"),(C470+D470)*$E$3/Formeln!$L$20,IF(AND($E$8=1,Eingabe!$C$7="K"),(C470-D470)*$E$3/Formeln!$L$20,C470*$E$3/Formeln!$L$20)))</f>
        <v>xxx</v>
      </c>
      <c r="F470" s="139">
        <f>IF(Eingabe!$C$7="K",C470-D470+E470,SUM(C470:E470))</f>
        <v>0</v>
      </c>
    </row>
    <row r="471" spans="2:6" x14ac:dyDescent="0.25">
      <c r="B471" s="138" t="str">
        <f>IF(AND(Formeln!$I$11=2,B470&lt;$E$4/Formeln!$M$20),B470+1,IF(AND(Formeln!$I$11=1,B470&lt;$E$4*Formeln!$M$20),B470+1,"xxx"))</f>
        <v>xxx</v>
      </c>
      <c r="C471" s="139" t="str">
        <f t="shared" si="14"/>
        <v>xxx</v>
      </c>
      <c r="D471" s="139" t="str">
        <f t="shared" si="15"/>
        <v>xxx</v>
      </c>
      <c r="E471" s="139" t="str">
        <f>IF(D471="xxx","xxx",IF(AND($E$8=1,Eingabe!$C$7="S"),(C471+D471)*$E$3/Formeln!$L$20,IF(AND($E$8=1,Eingabe!$C$7="K"),(C471-D471)*$E$3/Formeln!$L$20,C471*$E$3/Formeln!$L$20)))</f>
        <v>xxx</v>
      </c>
      <c r="F471" s="139">
        <f>IF(Eingabe!$C$7="K",C471-D471+E471,SUM(C471:E471))</f>
        <v>0</v>
      </c>
    </row>
    <row r="472" spans="2:6" x14ac:dyDescent="0.25">
      <c r="B472" s="138" t="str">
        <f>IF(AND(Formeln!$I$11=2,B471&lt;$E$4/Formeln!$M$20),B471+1,IF(AND(Formeln!$I$11=1,B471&lt;$E$4*Formeln!$M$20),B471+1,"xxx"))</f>
        <v>xxx</v>
      </c>
      <c r="C472" s="139" t="str">
        <f t="shared" si="14"/>
        <v>xxx</v>
      </c>
      <c r="D472" s="139" t="str">
        <f t="shared" si="15"/>
        <v>xxx</v>
      </c>
      <c r="E472" s="139" t="str">
        <f>IF(D472="xxx","xxx",IF(AND($E$8=1,Eingabe!$C$7="S"),(C472+D472)*$E$3/Formeln!$L$20,IF(AND($E$8=1,Eingabe!$C$7="K"),(C472-D472)*$E$3/Formeln!$L$20,C472*$E$3/Formeln!$L$20)))</f>
        <v>xxx</v>
      </c>
      <c r="F472" s="139">
        <f>IF(Eingabe!$C$7="K",C472-D472+E472,SUM(C472:E472))</f>
        <v>0</v>
      </c>
    </row>
    <row r="473" spans="2:6" x14ac:dyDescent="0.25">
      <c r="B473" s="138" t="str">
        <f>IF(AND(Formeln!$I$11=2,B472&lt;$E$4/Formeln!$M$20),B472+1,IF(AND(Formeln!$I$11=1,B472&lt;$E$4*Formeln!$M$20),B472+1,"xxx"))</f>
        <v>xxx</v>
      </c>
      <c r="C473" s="139" t="str">
        <f t="shared" si="14"/>
        <v>xxx</v>
      </c>
      <c r="D473" s="139" t="str">
        <f t="shared" si="15"/>
        <v>xxx</v>
      </c>
      <c r="E473" s="139" t="str">
        <f>IF(D473="xxx","xxx",IF(AND($E$8=1,Eingabe!$C$7="S"),(C473+D473)*$E$3/Formeln!$L$20,IF(AND($E$8=1,Eingabe!$C$7="K"),(C473-D473)*$E$3/Formeln!$L$20,C473*$E$3/Formeln!$L$20)))</f>
        <v>xxx</v>
      </c>
      <c r="F473" s="139">
        <f>IF(Eingabe!$C$7="K",C473-D473+E473,SUM(C473:E473))</f>
        <v>0</v>
      </c>
    </row>
    <row r="474" spans="2:6" x14ac:dyDescent="0.25">
      <c r="B474" s="138" t="str">
        <f>IF(AND(Formeln!$I$11=2,B473&lt;$E$4/Formeln!$M$20),B473+1,IF(AND(Formeln!$I$11=1,B473&lt;$E$4*Formeln!$M$20),B473+1,"xxx"))</f>
        <v>xxx</v>
      </c>
      <c r="C474" s="139" t="str">
        <f t="shared" si="14"/>
        <v>xxx</v>
      </c>
      <c r="D474" s="139" t="str">
        <f t="shared" si="15"/>
        <v>xxx</v>
      </c>
      <c r="E474" s="139" t="str">
        <f>IF(D474="xxx","xxx",IF(AND($E$8=1,Eingabe!$C$7="S"),(C474+D474)*$E$3/Formeln!$L$20,IF(AND($E$8=1,Eingabe!$C$7="K"),(C474-D474)*$E$3/Formeln!$L$20,C474*$E$3/Formeln!$L$20)))</f>
        <v>xxx</v>
      </c>
      <c r="F474" s="139">
        <f>IF(Eingabe!$C$7="K",C474-D474+E474,SUM(C474:E474))</f>
        <v>0</v>
      </c>
    </row>
    <row r="475" spans="2:6" x14ac:dyDescent="0.25">
      <c r="B475" s="138" t="str">
        <f>IF(AND(Formeln!$I$11=2,B474&lt;$E$4/Formeln!$M$20),B474+1,IF(AND(Formeln!$I$11=1,B474&lt;$E$4*Formeln!$M$20),B474+1,"xxx"))</f>
        <v>xxx</v>
      </c>
      <c r="C475" s="139" t="str">
        <f t="shared" si="14"/>
        <v>xxx</v>
      </c>
      <c r="D475" s="139" t="str">
        <f t="shared" si="15"/>
        <v>xxx</v>
      </c>
      <c r="E475" s="139" t="str">
        <f>IF(D475="xxx","xxx",IF(AND($E$8=1,Eingabe!$C$7="S"),(C475+D475)*$E$3/Formeln!$L$20,IF(AND($E$8=1,Eingabe!$C$7="K"),(C475-D475)*$E$3/Formeln!$L$20,C475*$E$3/Formeln!$L$20)))</f>
        <v>xxx</v>
      </c>
      <c r="F475" s="139">
        <f>IF(Eingabe!$C$7="K",C475-D475+E475,SUM(C475:E475))</f>
        <v>0</v>
      </c>
    </row>
    <row r="476" spans="2:6" x14ac:dyDescent="0.25">
      <c r="B476" s="138" t="str">
        <f>IF(AND(Formeln!$I$11=2,B475&lt;$E$4/Formeln!$M$20),B475+1,IF(AND(Formeln!$I$11=1,B475&lt;$E$4*Formeln!$M$20),B475+1,"xxx"))</f>
        <v>xxx</v>
      </c>
      <c r="C476" s="139" t="str">
        <f t="shared" si="14"/>
        <v>xxx</v>
      </c>
      <c r="D476" s="139" t="str">
        <f t="shared" si="15"/>
        <v>xxx</v>
      </c>
      <c r="E476" s="139" t="str">
        <f>IF(D476="xxx","xxx",IF(AND($E$8=1,Eingabe!$C$7="S"),(C476+D476)*$E$3/Formeln!$L$20,IF(AND($E$8=1,Eingabe!$C$7="K"),(C476-D476)*$E$3/Formeln!$L$20,C476*$E$3/Formeln!$L$20)))</f>
        <v>xxx</v>
      </c>
      <c r="F476" s="139">
        <f>IF(Eingabe!$C$7="K",C476-D476+E476,SUM(C476:E476))</f>
        <v>0</v>
      </c>
    </row>
    <row r="477" spans="2:6" x14ac:dyDescent="0.25">
      <c r="B477" s="138" t="str">
        <f>IF(AND(Formeln!$I$11=2,B476&lt;$E$4/Formeln!$M$20),B476+1,IF(AND(Formeln!$I$11=1,B476&lt;$E$4*Formeln!$M$20),B476+1,"xxx"))</f>
        <v>xxx</v>
      </c>
      <c r="C477" s="139" t="str">
        <f t="shared" si="14"/>
        <v>xxx</v>
      </c>
      <c r="D477" s="139" t="str">
        <f t="shared" si="15"/>
        <v>xxx</v>
      </c>
      <c r="E477" s="139" t="str">
        <f>IF(D477="xxx","xxx",IF(AND($E$8=1,Eingabe!$C$7="S"),(C477+D477)*$E$3/Formeln!$L$20,IF(AND($E$8=1,Eingabe!$C$7="K"),(C477-D477)*$E$3/Formeln!$L$20,C477*$E$3/Formeln!$L$20)))</f>
        <v>xxx</v>
      </c>
      <c r="F477" s="139">
        <f>IF(Eingabe!$C$7="K",C477-D477+E477,SUM(C477:E477))</f>
        <v>0</v>
      </c>
    </row>
    <row r="478" spans="2:6" x14ac:dyDescent="0.25">
      <c r="B478" s="138" t="str">
        <f>IF(AND(Formeln!$I$11=2,B477&lt;$E$4/Formeln!$M$20),B477+1,IF(AND(Formeln!$I$11=1,B477&lt;$E$4*Formeln!$M$20),B477+1,"xxx"))</f>
        <v>xxx</v>
      </c>
      <c r="C478" s="139" t="str">
        <f t="shared" si="14"/>
        <v>xxx</v>
      </c>
      <c r="D478" s="139" t="str">
        <f t="shared" si="15"/>
        <v>xxx</v>
      </c>
      <c r="E478" s="139" t="str">
        <f>IF(D478="xxx","xxx",IF(AND($E$8=1,Eingabe!$C$7="S"),(C478+D478)*$E$3/Formeln!$L$20,IF(AND($E$8=1,Eingabe!$C$7="K"),(C478-D478)*$E$3/Formeln!$L$20,C478*$E$3/Formeln!$L$20)))</f>
        <v>xxx</v>
      </c>
      <c r="F478" s="139">
        <f>IF(Eingabe!$C$7="K",C478-D478+E478,SUM(C478:E478))</f>
        <v>0</v>
      </c>
    </row>
    <row r="479" spans="2:6" x14ac:dyDescent="0.25">
      <c r="B479" s="138" t="str">
        <f>IF(AND(Formeln!$I$11=2,B478&lt;$E$4/Formeln!$M$20),B478+1,IF(AND(Formeln!$I$11=1,B478&lt;$E$4*Formeln!$M$20),B478+1,"xxx"))</f>
        <v>xxx</v>
      </c>
      <c r="C479" s="139" t="str">
        <f t="shared" si="14"/>
        <v>xxx</v>
      </c>
      <c r="D479" s="139" t="str">
        <f t="shared" si="15"/>
        <v>xxx</v>
      </c>
      <c r="E479" s="139" t="str">
        <f>IF(D479="xxx","xxx",IF(AND($E$8=1,Eingabe!$C$7="S"),(C479+D479)*$E$3/Formeln!$L$20,IF(AND($E$8=1,Eingabe!$C$7="K"),(C479-D479)*$E$3/Formeln!$L$20,C479*$E$3/Formeln!$L$20)))</f>
        <v>xxx</v>
      </c>
      <c r="F479" s="139">
        <f>IF(Eingabe!$C$7="K",C479-D479+E479,SUM(C479:E479))</f>
        <v>0</v>
      </c>
    </row>
    <row r="480" spans="2:6" x14ac:dyDescent="0.25">
      <c r="B480" s="138" t="str">
        <f>IF(AND(Formeln!$I$11=2,B479&lt;$E$4/Formeln!$M$20),B479+1,IF(AND(Formeln!$I$11=1,B479&lt;$E$4*Formeln!$M$20),B479+1,"xxx"))</f>
        <v>xxx</v>
      </c>
      <c r="C480" s="139" t="str">
        <f t="shared" si="14"/>
        <v>xxx</v>
      </c>
      <c r="D480" s="139" t="str">
        <f t="shared" si="15"/>
        <v>xxx</v>
      </c>
      <c r="E480" s="139" t="str">
        <f>IF(D480="xxx","xxx",IF(AND($E$8=1,Eingabe!$C$7="S"),(C480+D480)*$E$3/Formeln!$L$20,IF(AND($E$8=1,Eingabe!$C$7="K"),(C480-D480)*$E$3/Formeln!$L$20,C480*$E$3/Formeln!$L$20)))</f>
        <v>xxx</v>
      </c>
      <c r="F480" s="139">
        <f>IF(Eingabe!$C$7="K",C480-D480+E480,SUM(C480:E480))</f>
        <v>0</v>
      </c>
    </row>
    <row r="481" spans="2:6" x14ac:dyDescent="0.25">
      <c r="B481" s="138" t="str">
        <f>IF(AND(Formeln!$I$11=2,B480&lt;$E$4/Formeln!$M$20),B480+1,IF(AND(Formeln!$I$11=1,B480&lt;$E$4*Formeln!$M$20),B480+1,"xxx"))</f>
        <v>xxx</v>
      </c>
      <c r="C481" s="139" t="str">
        <f t="shared" si="14"/>
        <v>xxx</v>
      </c>
      <c r="D481" s="139" t="str">
        <f t="shared" si="15"/>
        <v>xxx</v>
      </c>
      <c r="E481" s="139" t="str">
        <f>IF(D481="xxx","xxx",IF(AND($E$8=1,Eingabe!$C$7="S"),(C481+D481)*$E$3/Formeln!$L$20,IF(AND($E$8=1,Eingabe!$C$7="K"),(C481-D481)*$E$3/Formeln!$L$20,C481*$E$3/Formeln!$L$20)))</f>
        <v>xxx</v>
      </c>
      <c r="F481" s="139">
        <f>IF(Eingabe!$C$7="K",C481-D481+E481,SUM(C481:E481))</f>
        <v>0</v>
      </c>
    </row>
    <row r="482" spans="2:6" x14ac:dyDescent="0.25">
      <c r="B482" s="138" t="str">
        <f>IF(AND(Formeln!$I$11=2,B481&lt;$E$4/Formeln!$M$20),B481+1,IF(AND(Formeln!$I$11=1,B481&lt;$E$4*Formeln!$M$20),B481+1,"xxx"))</f>
        <v>xxx</v>
      </c>
      <c r="C482" s="139" t="str">
        <f t="shared" si="14"/>
        <v>xxx</v>
      </c>
      <c r="D482" s="139" t="str">
        <f t="shared" si="15"/>
        <v>xxx</v>
      </c>
      <c r="E482" s="139" t="str">
        <f>IF(D482="xxx","xxx",IF(AND($E$8=1,Eingabe!$C$7="S"),(C482+D482)*$E$3/Formeln!$L$20,IF(AND($E$8=1,Eingabe!$C$7="K"),(C482-D482)*$E$3/Formeln!$L$20,C482*$E$3/Formeln!$L$20)))</f>
        <v>xxx</v>
      </c>
      <c r="F482" s="139">
        <f>IF(Eingabe!$C$7="K",C482-D482+E482,SUM(C482:E482))</f>
        <v>0</v>
      </c>
    </row>
    <row r="483" spans="2:6" x14ac:dyDescent="0.25">
      <c r="B483" s="138" t="str">
        <f>IF(AND(Formeln!$I$11=2,B482&lt;$E$4/Formeln!$M$20),B482+1,IF(AND(Formeln!$I$11=1,B482&lt;$E$4*Formeln!$M$20),B482+1,"xxx"))</f>
        <v>xxx</v>
      </c>
      <c r="C483" s="139" t="str">
        <f t="shared" si="14"/>
        <v>xxx</v>
      </c>
      <c r="D483" s="139" t="str">
        <f t="shared" si="15"/>
        <v>xxx</v>
      </c>
      <c r="E483" s="139" t="str">
        <f>IF(D483="xxx","xxx",IF(AND($E$8=1,Eingabe!$C$7="S"),(C483+D483)*$E$3/Formeln!$L$20,IF(AND($E$8=1,Eingabe!$C$7="K"),(C483-D483)*$E$3/Formeln!$L$20,C483*$E$3/Formeln!$L$20)))</f>
        <v>xxx</v>
      </c>
      <c r="F483" s="139">
        <f>IF(Eingabe!$C$7="K",C483-D483+E483,SUM(C483:E483))</f>
        <v>0</v>
      </c>
    </row>
    <row r="484" spans="2:6" x14ac:dyDescent="0.25">
      <c r="B484" s="138" t="str">
        <f>IF(AND(Formeln!$I$11=2,B483&lt;$E$4/Formeln!$M$20),B483+1,IF(AND(Formeln!$I$11=1,B483&lt;$E$4*Formeln!$M$20),B483+1,"xxx"))</f>
        <v>xxx</v>
      </c>
      <c r="C484" s="139" t="str">
        <f t="shared" si="14"/>
        <v>xxx</v>
      </c>
      <c r="D484" s="139" t="str">
        <f t="shared" si="15"/>
        <v>xxx</v>
      </c>
      <c r="E484" s="139" t="str">
        <f>IF(D484="xxx","xxx",IF(AND($E$8=1,Eingabe!$C$7="S"),(C484+D484)*$E$3/Formeln!$L$20,IF(AND($E$8=1,Eingabe!$C$7="K"),(C484-D484)*$E$3/Formeln!$L$20,C484*$E$3/Formeln!$L$20)))</f>
        <v>xxx</v>
      </c>
      <c r="F484" s="139">
        <f>IF(Eingabe!$C$7="K",C484-D484+E484,SUM(C484:E484))</f>
        <v>0</v>
      </c>
    </row>
    <row r="485" spans="2:6" x14ac:dyDescent="0.25">
      <c r="B485" s="138" t="str">
        <f>IF(AND(Formeln!$I$11=2,B484&lt;$E$4/Formeln!$M$20),B484+1,IF(AND(Formeln!$I$11=1,B484&lt;$E$4*Formeln!$M$20),B484+1,"xxx"))</f>
        <v>xxx</v>
      </c>
      <c r="C485" s="139" t="str">
        <f t="shared" si="14"/>
        <v>xxx</v>
      </c>
      <c r="D485" s="139" t="str">
        <f t="shared" si="15"/>
        <v>xxx</v>
      </c>
      <c r="E485" s="139" t="str">
        <f>IF(D485="xxx","xxx",IF(AND($E$8=1,Eingabe!$C$7="S"),(C485+D485)*$E$3/Formeln!$L$20,IF(AND($E$8=1,Eingabe!$C$7="K"),(C485-D485)*$E$3/Formeln!$L$20,C485*$E$3/Formeln!$L$20)))</f>
        <v>xxx</v>
      </c>
      <c r="F485" s="139">
        <f>IF(Eingabe!$C$7="K",C485-D485+E485,SUM(C485:E485))</f>
        <v>0</v>
      </c>
    </row>
    <row r="486" spans="2:6" x14ac:dyDescent="0.25">
      <c r="B486" s="138" t="str">
        <f>IF(AND(Formeln!$I$11=2,B485&lt;$E$4/Formeln!$M$20),B485+1,IF(AND(Formeln!$I$11=1,B485&lt;$E$4*Formeln!$M$20),B485+1,"xxx"))</f>
        <v>xxx</v>
      </c>
      <c r="C486" s="139" t="str">
        <f t="shared" si="14"/>
        <v>xxx</v>
      </c>
      <c r="D486" s="139" t="str">
        <f t="shared" si="15"/>
        <v>xxx</v>
      </c>
      <c r="E486" s="139" t="str">
        <f>IF(D486="xxx","xxx",IF(AND($E$8=1,Eingabe!$C$7="S"),(C486+D486)*$E$3/Formeln!$L$20,IF(AND($E$8=1,Eingabe!$C$7="K"),(C486-D486)*$E$3/Formeln!$L$20,C486*$E$3/Formeln!$L$20)))</f>
        <v>xxx</v>
      </c>
      <c r="F486" s="139">
        <f>IF(Eingabe!$C$7="K",C486-D486+E486,SUM(C486:E486))</f>
        <v>0</v>
      </c>
    </row>
    <row r="487" spans="2:6" x14ac:dyDescent="0.25">
      <c r="B487" s="138" t="str">
        <f>IF(AND(Formeln!$I$11=2,B486&lt;$E$4/Formeln!$M$20),B486+1,IF(AND(Formeln!$I$11=1,B486&lt;$E$4*Formeln!$M$20),B486+1,"xxx"))</f>
        <v>xxx</v>
      </c>
      <c r="C487" s="139" t="str">
        <f t="shared" si="14"/>
        <v>xxx</v>
      </c>
      <c r="D487" s="139" t="str">
        <f t="shared" si="15"/>
        <v>xxx</v>
      </c>
      <c r="E487" s="139" t="str">
        <f>IF(D487="xxx","xxx",IF(AND($E$8=1,Eingabe!$C$7="S"),(C487+D487)*$E$3/Formeln!$L$20,IF(AND($E$8=1,Eingabe!$C$7="K"),(C487-D487)*$E$3/Formeln!$L$20,C487*$E$3/Formeln!$L$20)))</f>
        <v>xxx</v>
      </c>
      <c r="F487" s="139">
        <f>IF(Eingabe!$C$7="K",C487-D487+E487,SUM(C487:E487))</f>
        <v>0</v>
      </c>
    </row>
    <row r="488" spans="2:6" x14ac:dyDescent="0.25">
      <c r="B488" s="138" t="str">
        <f>IF(AND(Formeln!$I$11=2,B487&lt;$E$4/Formeln!$M$20),B487+1,IF(AND(Formeln!$I$11=1,B487&lt;$E$4*Formeln!$M$20),B487+1,"xxx"))</f>
        <v>xxx</v>
      </c>
      <c r="C488" s="139" t="str">
        <f t="shared" si="14"/>
        <v>xxx</v>
      </c>
      <c r="D488" s="139" t="str">
        <f t="shared" si="15"/>
        <v>xxx</v>
      </c>
      <c r="E488" s="139" t="str">
        <f>IF(D488="xxx","xxx",IF(AND($E$8=1,Eingabe!$C$7="S"),(C488+D488)*$E$3/Formeln!$L$20,IF(AND($E$8=1,Eingabe!$C$7="K"),(C488-D488)*$E$3/Formeln!$L$20,C488*$E$3/Formeln!$L$20)))</f>
        <v>xxx</v>
      </c>
      <c r="F488" s="139">
        <f>IF(Eingabe!$C$7="K",C488-D488+E488,SUM(C488:E488))</f>
        <v>0</v>
      </c>
    </row>
    <row r="489" spans="2:6" x14ac:dyDescent="0.25">
      <c r="B489" s="138" t="str">
        <f>IF(AND(Formeln!$I$11=2,B488&lt;$E$4/Formeln!$M$20),B488+1,IF(AND(Formeln!$I$11=1,B488&lt;$E$4*Formeln!$M$20),B488+1,"xxx"))</f>
        <v>xxx</v>
      </c>
      <c r="C489" s="139" t="str">
        <f t="shared" si="14"/>
        <v>xxx</v>
      </c>
      <c r="D489" s="139" t="str">
        <f t="shared" si="15"/>
        <v>xxx</v>
      </c>
      <c r="E489" s="139" t="str">
        <f>IF(D489="xxx","xxx",IF(AND($E$8=1,Eingabe!$C$7="S"),(C489+D489)*$E$3/Formeln!$L$20,IF(AND($E$8=1,Eingabe!$C$7="K"),(C489-D489)*$E$3/Formeln!$L$20,C489*$E$3/Formeln!$L$20)))</f>
        <v>xxx</v>
      </c>
      <c r="F489" s="139">
        <f>IF(Eingabe!$C$7="K",C489-D489+E489,SUM(C489:E489))</f>
        <v>0</v>
      </c>
    </row>
    <row r="490" spans="2:6" x14ac:dyDescent="0.25">
      <c r="B490" s="138" t="str">
        <f>IF(AND(Formeln!$I$11=2,B489&lt;$E$4/Formeln!$M$20),B489+1,IF(AND(Formeln!$I$11=1,B489&lt;$E$4*Formeln!$M$20),B489+1,"xxx"))</f>
        <v>xxx</v>
      </c>
      <c r="C490" s="139" t="str">
        <f t="shared" si="14"/>
        <v>xxx</v>
      </c>
      <c r="D490" s="139" t="str">
        <f t="shared" si="15"/>
        <v>xxx</v>
      </c>
      <c r="E490" s="139" t="str">
        <f>IF(D490="xxx","xxx",IF(AND($E$8=1,Eingabe!$C$7="S"),(C490+D490)*$E$3/Formeln!$L$20,IF(AND($E$8=1,Eingabe!$C$7="K"),(C490-D490)*$E$3/Formeln!$L$20,C490*$E$3/Formeln!$L$20)))</f>
        <v>xxx</v>
      </c>
      <c r="F490" s="139">
        <f>IF(Eingabe!$C$7="K",C490-D490+E490,SUM(C490:E490))</f>
        <v>0</v>
      </c>
    </row>
    <row r="491" spans="2:6" x14ac:dyDescent="0.25">
      <c r="B491" s="138" t="str">
        <f>IF(AND(Formeln!$I$11=2,B490&lt;$E$4/Formeln!$M$20),B490+1,IF(AND(Formeln!$I$11=1,B490&lt;$E$4*Formeln!$M$20),B490+1,"xxx"))</f>
        <v>xxx</v>
      </c>
      <c r="C491" s="139" t="str">
        <f t="shared" si="14"/>
        <v>xxx</v>
      </c>
      <c r="D491" s="139" t="str">
        <f t="shared" si="15"/>
        <v>xxx</v>
      </c>
      <c r="E491" s="139" t="str">
        <f>IF(D491="xxx","xxx",IF(AND($E$8=1,Eingabe!$C$7="S"),(C491+D491)*$E$3/Formeln!$L$20,IF(AND($E$8=1,Eingabe!$C$7="K"),(C491-D491)*$E$3/Formeln!$L$20,C491*$E$3/Formeln!$L$20)))</f>
        <v>xxx</v>
      </c>
      <c r="F491" s="139">
        <f>IF(Eingabe!$C$7="K",C491-D491+E491,SUM(C491:E491))</f>
        <v>0</v>
      </c>
    </row>
    <row r="492" spans="2:6" x14ac:dyDescent="0.25">
      <c r="B492" s="138" t="str">
        <f>IF(AND(Formeln!$I$11=2,B491&lt;$E$4/Formeln!$M$20),B491+1,IF(AND(Formeln!$I$11=1,B491&lt;$E$4*Formeln!$M$20),B491+1,"xxx"))</f>
        <v>xxx</v>
      </c>
      <c r="C492" s="139" t="str">
        <f t="shared" si="14"/>
        <v>xxx</v>
      </c>
      <c r="D492" s="139" t="str">
        <f t="shared" si="15"/>
        <v>xxx</v>
      </c>
      <c r="E492" s="139" t="str">
        <f>IF(D492="xxx","xxx",IF(AND($E$8=1,Eingabe!$C$7="S"),(C492+D492)*$E$3/Formeln!$L$20,IF(AND($E$8=1,Eingabe!$C$7="K"),(C492-D492)*$E$3/Formeln!$L$20,C492*$E$3/Formeln!$L$20)))</f>
        <v>xxx</v>
      </c>
      <c r="F492" s="139">
        <f>IF(Eingabe!$C$7="K",C492-D492+E492,SUM(C492:E492))</f>
        <v>0</v>
      </c>
    </row>
    <row r="493" spans="2:6" x14ac:dyDescent="0.25">
      <c r="B493" s="138" t="str">
        <f>IF(AND(Formeln!$I$11=2,B492&lt;$E$4/Formeln!$M$20),B492+1,IF(AND(Formeln!$I$11=1,B492&lt;$E$4*Formeln!$M$20),B492+1,"xxx"))</f>
        <v>xxx</v>
      </c>
      <c r="C493" s="139" t="str">
        <f t="shared" si="14"/>
        <v>xxx</v>
      </c>
      <c r="D493" s="139" t="str">
        <f t="shared" si="15"/>
        <v>xxx</v>
      </c>
      <c r="E493" s="139" t="str">
        <f>IF(D493="xxx","xxx",IF(AND($E$8=1,Eingabe!$C$7="S"),(C493+D493)*$E$3/Formeln!$L$20,IF(AND($E$8=1,Eingabe!$C$7="K"),(C493-D493)*$E$3/Formeln!$L$20,C493*$E$3/Formeln!$L$20)))</f>
        <v>xxx</v>
      </c>
      <c r="F493" s="139">
        <f>IF(Eingabe!$C$7="K",C493-D493+E493,SUM(C493:E493))</f>
        <v>0</v>
      </c>
    </row>
    <row r="494" spans="2:6" x14ac:dyDescent="0.25">
      <c r="B494" s="138" t="str">
        <f>IF(AND(Formeln!$I$11=2,B493&lt;$E$4/Formeln!$M$20),B493+1,IF(AND(Formeln!$I$11=1,B493&lt;$E$4*Formeln!$M$20),B493+1,"xxx"))</f>
        <v>xxx</v>
      </c>
      <c r="C494" s="139" t="str">
        <f t="shared" si="14"/>
        <v>xxx</v>
      </c>
      <c r="D494" s="139" t="str">
        <f t="shared" si="15"/>
        <v>xxx</v>
      </c>
      <c r="E494" s="139" t="str">
        <f>IF(D494="xxx","xxx",IF(AND($E$8=1,Eingabe!$C$7="S"),(C494+D494)*$E$3/Formeln!$L$20,IF(AND($E$8=1,Eingabe!$C$7="K"),(C494-D494)*$E$3/Formeln!$L$20,C494*$E$3/Formeln!$L$20)))</f>
        <v>xxx</v>
      </c>
      <c r="F494" s="139">
        <f>IF(Eingabe!$C$7="K",C494-D494+E494,SUM(C494:E494))</f>
        <v>0</v>
      </c>
    </row>
    <row r="495" spans="2:6" x14ac:dyDescent="0.25">
      <c r="B495" s="138" t="str">
        <f>IF(AND(Formeln!$I$11=2,B494&lt;$E$4/Formeln!$M$20),B494+1,IF(AND(Formeln!$I$11=1,B494&lt;$E$4*Formeln!$M$20),B494+1,"xxx"))</f>
        <v>xxx</v>
      </c>
      <c r="C495" s="139" t="str">
        <f t="shared" si="14"/>
        <v>xxx</v>
      </c>
      <c r="D495" s="139" t="str">
        <f t="shared" si="15"/>
        <v>xxx</v>
      </c>
      <c r="E495" s="139" t="str">
        <f>IF(D495="xxx","xxx",IF(AND($E$8=1,Eingabe!$C$7="S"),(C495+D495)*$E$3/Formeln!$L$20,IF(AND($E$8=1,Eingabe!$C$7="K"),(C495-D495)*$E$3/Formeln!$L$20,C495*$E$3/Formeln!$L$20)))</f>
        <v>xxx</v>
      </c>
      <c r="F495" s="139">
        <f>IF(Eingabe!$C$7="K",C495-D495+E495,SUM(C495:E495))</f>
        <v>0</v>
      </c>
    </row>
    <row r="496" spans="2:6" x14ac:dyDescent="0.25">
      <c r="B496" s="138" t="str">
        <f>IF(AND(Formeln!$I$11=2,B495&lt;$E$4/Formeln!$M$20),B495+1,IF(AND(Formeln!$I$11=1,B495&lt;$E$4*Formeln!$M$20),B495+1,"xxx"))</f>
        <v>xxx</v>
      </c>
      <c r="C496" s="139" t="str">
        <f t="shared" si="14"/>
        <v>xxx</v>
      </c>
      <c r="D496" s="139" t="str">
        <f t="shared" si="15"/>
        <v>xxx</v>
      </c>
      <c r="E496" s="139" t="str">
        <f>IF(D496="xxx","xxx",IF(AND($E$8=1,Eingabe!$C$7="S"),(C496+D496)*$E$3/Formeln!$L$20,IF(AND($E$8=1,Eingabe!$C$7="K"),(C496-D496)*$E$3/Formeln!$L$20,C496*$E$3/Formeln!$L$20)))</f>
        <v>xxx</v>
      </c>
      <c r="F496" s="139">
        <f>IF(Eingabe!$C$7="K",C496-D496+E496,SUM(C496:E496))</f>
        <v>0</v>
      </c>
    </row>
    <row r="497" spans="2:6" x14ac:dyDescent="0.25">
      <c r="B497" s="138" t="str">
        <f>IF(AND(Formeln!$I$11=2,B496&lt;$E$4/Formeln!$M$20),B496+1,IF(AND(Formeln!$I$11=1,B496&lt;$E$4*Formeln!$M$20),B496+1,"xxx"))</f>
        <v>xxx</v>
      </c>
      <c r="C497" s="139" t="str">
        <f t="shared" si="14"/>
        <v>xxx</v>
      </c>
      <c r="D497" s="139" t="str">
        <f t="shared" si="15"/>
        <v>xxx</v>
      </c>
      <c r="E497" s="139" t="str">
        <f>IF(D497="xxx","xxx",IF(AND($E$8=1,Eingabe!$C$7="S"),(C497+D497)*$E$3/Formeln!$L$20,IF(AND($E$8=1,Eingabe!$C$7="K"),(C497-D497)*$E$3/Formeln!$L$20,C497*$E$3/Formeln!$L$20)))</f>
        <v>xxx</v>
      </c>
      <c r="F497" s="139">
        <f>IF(Eingabe!$C$7="K",C497-D497+E497,SUM(C497:E497))</f>
        <v>0</v>
      </c>
    </row>
    <row r="498" spans="2:6" x14ac:dyDescent="0.25">
      <c r="B498" s="138" t="str">
        <f>IF(AND(Formeln!$I$11=2,B497&lt;$E$4/Formeln!$M$20),B497+1,IF(AND(Formeln!$I$11=1,B497&lt;$E$4*Formeln!$M$20),B497+1,"xxx"))</f>
        <v>xxx</v>
      </c>
      <c r="C498" s="139" t="str">
        <f t="shared" si="14"/>
        <v>xxx</v>
      </c>
      <c r="D498" s="139" t="str">
        <f t="shared" si="15"/>
        <v>xxx</v>
      </c>
      <c r="E498" s="139" t="str">
        <f>IF(D498="xxx","xxx",IF(AND($E$8=1,Eingabe!$C$7="S"),(C498+D498)*$E$3/Formeln!$L$20,IF(AND($E$8=1,Eingabe!$C$7="K"),(C498-D498)*$E$3/Formeln!$L$20,C498*$E$3/Formeln!$L$20)))</f>
        <v>xxx</v>
      </c>
      <c r="F498" s="139">
        <f>IF(Eingabe!$C$7="K",C498-D498+E498,SUM(C498:E498))</f>
        <v>0</v>
      </c>
    </row>
    <row r="499" spans="2:6" x14ac:dyDescent="0.25">
      <c r="B499" s="138" t="str">
        <f>IF(AND(Formeln!$I$11=2,B498&lt;$E$4/Formeln!$M$20),B498+1,IF(AND(Formeln!$I$11=1,B498&lt;$E$4*Formeln!$M$20),B498+1,"xxx"))</f>
        <v>xxx</v>
      </c>
      <c r="C499" s="139" t="str">
        <f t="shared" si="14"/>
        <v>xxx</v>
      </c>
      <c r="D499" s="139" t="str">
        <f t="shared" si="15"/>
        <v>xxx</v>
      </c>
      <c r="E499" s="139" t="str">
        <f>IF(D499="xxx","xxx",IF(AND($E$8=1,Eingabe!$C$7="S"),(C499+D499)*$E$3/Formeln!$L$20,IF(AND($E$8=1,Eingabe!$C$7="K"),(C499-D499)*$E$3/Formeln!$L$20,C499*$E$3/Formeln!$L$20)))</f>
        <v>xxx</v>
      </c>
      <c r="F499" s="139">
        <f>IF(Eingabe!$C$7="K",C499-D499+E499,SUM(C499:E499))</f>
        <v>0</v>
      </c>
    </row>
    <row r="500" spans="2:6" x14ac:dyDescent="0.25">
      <c r="B500" s="138" t="str">
        <f>IF(AND(Formeln!$I$11=2,B499&lt;$E$4/Formeln!$M$20),B499+1,IF(AND(Formeln!$I$11=1,B499&lt;$E$4*Formeln!$M$20),B499+1,"xxx"))</f>
        <v>xxx</v>
      </c>
      <c r="C500" s="139" t="str">
        <f t="shared" si="14"/>
        <v>xxx</v>
      </c>
      <c r="D500" s="139" t="str">
        <f t="shared" si="15"/>
        <v>xxx</v>
      </c>
      <c r="E500" s="139" t="str">
        <f>IF(D500="xxx","xxx",IF(AND($E$8=1,Eingabe!$C$7="S"),(C500+D500)*$E$3/Formeln!$L$20,IF(AND($E$8=1,Eingabe!$C$7="K"),(C500-D500)*$E$3/Formeln!$L$20,C500*$E$3/Formeln!$L$20)))</f>
        <v>xxx</v>
      </c>
      <c r="F500" s="139">
        <f>IF(Eingabe!$C$7="K",C500-D500+E500,SUM(C500:E500))</f>
        <v>0</v>
      </c>
    </row>
    <row r="501" spans="2:6" x14ac:dyDescent="0.25">
      <c r="B501" s="138" t="str">
        <f>IF(AND(Formeln!$I$11=2,B500&lt;$E$4/Formeln!$M$20),B500+1,IF(AND(Formeln!$I$11=1,B500&lt;$E$4*Formeln!$M$20),B500+1,"xxx"))</f>
        <v>xxx</v>
      </c>
      <c r="C501" s="139" t="str">
        <f t="shared" si="14"/>
        <v>xxx</v>
      </c>
      <c r="D501" s="139" t="str">
        <f t="shared" si="15"/>
        <v>xxx</v>
      </c>
      <c r="E501" s="139" t="str">
        <f>IF(D501="xxx","xxx",IF(AND($E$8=1,Eingabe!$C$7="S"),(C501+D501)*$E$3/Formeln!$L$20,IF(AND($E$8=1,Eingabe!$C$7="K"),(C501-D501)*$E$3/Formeln!$L$20,C501*$E$3/Formeln!$L$20)))</f>
        <v>xxx</v>
      </c>
      <c r="F501" s="139">
        <f>IF(Eingabe!$C$7="K",C501-D501+E501,SUM(C501:E501))</f>
        <v>0</v>
      </c>
    </row>
    <row r="502" spans="2:6" x14ac:dyDescent="0.25">
      <c r="B502" s="138" t="str">
        <f>IF(AND(Formeln!$I$11=2,B501&lt;$E$4/Formeln!$M$20),B501+1,IF(AND(Formeln!$I$11=1,B501&lt;$E$4*Formeln!$M$20),B501+1,"xxx"))</f>
        <v>xxx</v>
      </c>
      <c r="C502" s="139" t="str">
        <f t="shared" si="14"/>
        <v>xxx</v>
      </c>
      <c r="D502" s="139" t="str">
        <f t="shared" si="15"/>
        <v>xxx</v>
      </c>
      <c r="E502" s="139" t="str">
        <f>IF(D502="xxx","xxx",IF(AND($E$8=1,Eingabe!$C$7="S"),(C502+D502)*$E$3/Formeln!$L$20,IF(AND($E$8=1,Eingabe!$C$7="K"),(C502-D502)*$E$3/Formeln!$L$20,C502*$E$3/Formeln!$L$20)))</f>
        <v>xxx</v>
      </c>
      <c r="F502" s="139">
        <f>IF(Eingabe!$C$7="K",C502-D502+E502,SUM(C502:E502))</f>
        <v>0</v>
      </c>
    </row>
    <row r="503" spans="2:6" x14ac:dyDescent="0.25">
      <c r="B503" s="138" t="str">
        <f>IF(AND(Formeln!$I$11=2,B502&lt;$E$4/Formeln!$M$20),B502+1,IF(AND(Formeln!$I$11=1,B502&lt;$E$4*Formeln!$M$20),B502+1,"xxx"))</f>
        <v>xxx</v>
      </c>
      <c r="C503" s="139" t="str">
        <f t="shared" si="14"/>
        <v>xxx</v>
      </c>
      <c r="D503" s="139" t="str">
        <f t="shared" si="15"/>
        <v>xxx</v>
      </c>
      <c r="E503" s="139" t="str">
        <f>IF(D503="xxx","xxx",IF(AND($E$8=1,Eingabe!$C$7="S"),(C503+D503)*$E$3/Formeln!$L$20,IF(AND($E$8=1,Eingabe!$C$7="K"),(C503-D503)*$E$3/Formeln!$L$20,C503*$E$3/Formeln!$L$20)))</f>
        <v>xxx</v>
      </c>
      <c r="F503" s="139">
        <f>IF(Eingabe!$C$7="K",C503-D503+E503,SUM(C503:E503))</f>
        <v>0</v>
      </c>
    </row>
    <row r="504" spans="2:6" x14ac:dyDescent="0.25">
      <c r="B504" s="138" t="str">
        <f>IF(AND(Formeln!$I$11=2,B503&lt;$E$4/Formeln!$M$20),B503+1,IF(AND(Formeln!$I$11=1,B503&lt;$E$4*Formeln!$M$20),B503+1,"xxx"))</f>
        <v>xxx</v>
      </c>
      <c r="C504" s="139" t="str">
        <f t="shared" si="14"/>
        <v>xxx</v>
      </c>
      <c r="D504" s="139" t="str">
        <f t="shared" si="15"/>
        <v>xxx</v>
      </c>
      <c r="E504" s="139" t="str">
        <f>IF(D504="xxx","xxx",IF(AND($E$8=1,Eingabe!$C$7="S"),(C504+D504)*$E$3/Formeln!$L$20,IF(AND($E$8=1,Eingabe!$C$7="K"),(C504-D504)*$E$3/Formeln!$L$20,C504*$E$3/Formeln!$L$20)))</f>
        <v>xxx</v>
      </c>
      <c r="F504" s="139">
        <f>IF(Eingabe!$C$7="K",C504-D504+E504,SUM(C504:E504))</f>
        <v>0</v>
      </c>
    </row>
    <row r="505" spans="2:6" x14ac:dyDescent="0.25">
      <c r="B505" s="138" t="str">
        <f>IF(AND(Formeln!$I$11=2,B504&lt;$E$4/Formeln!$M$20),B504+1,IF(AND(Formeln!$I$11=1,B504&lt;$E$4*Formeln!$M$20),B504+1,"xxx"))</f>
        <v>xxx</v>
      </c>
      <c r="C505" s="139" t="str">
        <f t="shared" si="14"/>
        <v>xxx</v>
      </c>
      <c r="D505" s="139" t="str">
        <f t="shared" si="15"/>
        <v>xxx</v>
      </c>
      <c r="E505" s="139" t="str">
        <f>IF(D505="xxx","xxx",IF(AND($E$8=1,Eingabe!$C$7="S"),(C505+D505)*$E$3/Formeln!$L$20,IF(AND($E$8=1,Eingabe!$C$7="K"),(C505-D505)*$E$3/Formeln!$L$20,C505*$E$3/Formeln!$L$20)))</f>
        <v>xxx</v>
      </c>
      <c r="F505" s="139">
        <f>IF(Eingabe!$C$7="K",C505-D505+E505,SUM(C505:E505))</f>
        <v>0</v>
      </c>
    </row>
    <row r="506" spans="2:6" x14ac:dyDescent="0.25">
      <c r="B506" s="138" t="str">
        <f>IF(AND(Formeln!$I$11=2,B505&lt;$E$4/Formeln!$M$20),B505+1,IF(AND(Formeln!$I$11=1,B505&lt;$E$4*Formeln!$M$20),B505+1,"xxx"))</f>
        <v>xxx</v>
      </c>
      <c r="C506" s="139" t="str">
        <f t="shared" si="14"/>
        <v>xxx</v>
      </c>
      <c r="D506" s="139" t="str">
        <f t="shared" si="15"/>
        <v>xxx</v>
      </c>
      <c r="E506" s="139" t="str">
        <f>IF(D506="xxx","xxx",IF(AND($E$8=1,Eingabe!$C$7="S"),(C506+D506)*$E$3/Formeln!$L$20,IF(AND($E$8=1,Eingabe!$C$7="K"),(C506-D506)*$E$3/Formeln!$L$20,C506*$E$3/Formeln!$L$20)))</f>
        <v>xxx</v>
      </c>
      <c r="F506" s="139">
        <f>IF(Eingabe!$C$7="K",C506-D506+E506,SUM(C506:E506))</f>
        <v>0</v>
      </c>
    </row>
    <row r="507" spans="2:6" x14ac:dyDescent="0.25">
      <c r="B507" s="138" t="str">
        <f>IF(AND(Formeln!$I$11=2,B506&lt;$E$4/Formeln!$M$20),B506+1,IF(AND(Formeln!$I$11=1,B506&lt;$E$4*Formeln!$M$20),B506+1,"xxx"))</f>
        <v>xxx</v>
      </c>
      <c r="C507" s="139" t="str">
        <f t="shared" si="14"/>
        <v>xxx</v>
      </c>
      <c r="D507" s="139" t="str">
        <f t="shared" si="15"/>
        <v>xxx</v>
      </c>
      <c r="E507" s="139" t="str">
        <f>IF(D507="xxx","xxx",IF(AND($E$8=1,Eingabe!$C$7="S"),(C507+D507)*$E$3/Formeln!$L$20,IF(AND($E$8=1,Eingabe!$C$7="K"),(C507-D507)*$E$3/Formeln!$L$20,C507*$E$3/Formeln!$L$20)))</f>
        <v>xxx</v>
      </c>
      <c r="F507" s="139">
        <f>IF(Eingabe!$C$7="K",C507-D507+E507,SUM(C507:E507))</f>
        <v>0</v>
      </c>
    </row>
    <row r="508" spans="2:6" x14ac:dyDescent="0.25">
      <c r="B508" s="138" t="str">
        <f>IF(AND(Formeln!$I$11=2,B507&lt;$E$4/Formeln!$M$20),B507+1,IF(AND(Formeln!$I$11=1,B507&lt;$E$4*Formeln!$M$20),B507+1,"xxx"))</f>
        <v>xxx</v>
      </c>
      <c r="C508" s="139" t="str">
        <f t="shared" si="14"/>
        <v>xxx</v>
      </c>
      <c r="D508" s="139" t="str">
        <f t="shared" si="15"/>
        <v>xxx</v>
      </c>
      <c r="E508" s="139" t="str">
        <f>IF(D508="xxx","xxx",IF(AND($E$8=1,Eingabe!$C$7="S"),(C508+D508)*$E$3/Formeln!$L$20,IF(AND($E$8=1,Eingabe!$C$7="K"),(C508-D508)*$E$3/Formeln!$L$20,C508*$E$3/Formeln!$L$20)))</f>
        <v>xxx</v>
      </c>
      <c r="F508" s="139">
        <f>IF(Eingabe!$C$7="K",C508-D508+E508,SUM(C508:E508))</f>
        <v>0</v>
      </c>
    </row>
    <row r="509" spans="2:6" x14ac:dyDescent="0.25">
      <c r="B509" s="138" t="str">
        <f>IF(AND(Formeln!$I$11=2,B508&lt;$E$4/Formeln!$M$20),B508+1,IF(AND(Formeln!$I$11=1,B508&lt;$E$4*Formeln!$M$20),B508+1,"xxx"))</f>
        <v>xxx</v>
      </c>
      <c r="C509" s="139" t="str">
        <f t="shared" si="14"/>
        <v>xxx</v>
      </c>
      <c r="D509" s="139" t="str">
        <f t="shared" si="15"/>
        <v>xxx</v>
      </c>
      <c r="E509" s="139" t="str">
        <f>IF(D509="xxx","xxx",IF(AND($E$8=1,Eingabe!$C$7="S"),(C509+D509)*$E$3/Formeln!$L$20,IF(AND($E$8=1,Eingabe!$C$7="K"),(C509-D509)*$E$3/Formeln!$L$20,C509*$E$3/Formeln!$L$20)))</f>
        <v>xxx</v>
      </c>
      <c r="F509" s="139">
        <f>IF(Eingabe!$C$7="K",C509-D509+E509,SUM(C509:E509))</f>
        <v>0</v>
      </c>
    </row>
    <row r="510" spans="2:6" x14ac:dyDescent="0.25">
      <c r="B510" s="138" t="str">
        <f>IF(AND(Formeln!$I$11=2,B509&lt;$E$4/Formeln!$M$20),B509+1,IF(AND(Formeln!$I$11=1,B509&lt;$E$4*Formeln!$M$20),B509+1,"xxx"))</f>
        <v>xxx</v>
      </c>
      <c r="C510" s="139" t="str">
        <f t="shared" si="14"/>
        <v>xxx</v>
      </c>
      <c r="D510" s="139" t="str">
        <f t="shared" si="15"/>
        <v>xxx</v>
      </c>
      <c r="E510" s="139" t="str">
        <f>IF(D510="xxx","xxx",IF(AND($E$8=1,Eingabe!$C$7="S"),(C510+D510)*$E$3/Formeln!$L$20,IF(AND($E$8=1,Eingabe!$C$7="K"),(C510-D510)*$E$3/Formeln!$L$20,C510*$E$3/Formeln!$L$20)))</f>
        <v>xxx</v>
      </c>
      <c r="F510" s="139">
        <f>IF(Eingabe!$C$7="K",C510-D510+E510,SUM(C510:E510))</f>
        <v>0</v>
      </c>
    </row>
    <row r="511" spans="2:6" x14ac:dyDescent="0.25">
      <c r="B511" s="138" t="str">
        <f>IF(AND(Formeln!$I$11=2,B510&lt;$E$4/Formeln!$M$20),B510+1,IF(AND(Formeln!$I$11=1,B510&lt;$E$4*Formeln!$M$20),B510+1,"xxx"))</f>
        <v>xxx</v>
      </c>
      <c r="C511" s="139" t="str">
        <f t="shared" si="14"/>
        <v>xxx</v>
      </c>
      <c r="D511" s="139" t="str">
        <f t="shared" si="15"/>
        <v>xxx</v>
      </c>
      <c r="E511" s="139" t="str">
        <f>IF(D511="xxx","xxx",IF(AND($E$8=1,Eingabe!$C$7="S"),(C511+D511)*$E$3/Formeln!$L$20,IF(AND($E$8=1,Eingabe!$C$7="K"),(C511-D511)*$E$3/Formeln!$L$20,C511*$E$3/Formeln!$L$20)))</f>
        <v>xxx</v>
      </c>
      <c r="F511" s="139">
        <f>IF(Eingabe!$C$7="K",C511-D511+E511,SUM(C511:E511))</f>
        <v>0</v>
      </c>
    </row>
    <row r="512" spans="2:6" x14ac:dyDescent="0.25">
      <c r="B512" s="138" t="str">
        <f>IF(AND(Formeln!$I$11=2,B511&lt;$E$4/Formeln!$M$20),B511+1,IF(AND(Formeln!$I$11=1,B511&lt;$E$4*Formeln!$M$20),B511+1,"xxx"))</f>
        <v>xxx</v>
      </c>
      <c r="C512" s="139" t="str">
        <f t="shared" si="14"/>
        <v>xxx</v>
      </c>
      <c r="D512" s="139" t="str">
        <f t="shared" si="15"/>
        <v>xxx</v>
      </c>
      <c r="E512" s="139" t="str">
        <f>IF(D512="xxx","xxx",IF(AND($E$8=1,Eingabe!$C$7="S"),(C512+D512)*$E$3/Formeln!$L$20,IF(AND($E$8=1,Eingabe!$C$7="K"),(C512-D512)*$E$3/Formeln!$L$20,C512*$E$3/Formeln!$L$20)))</f>
        <v>xxx</v>
      </c>
      <c r="F512" s="139">
        <f>IF(Eingabe!$C$7="K",C512-D512+E512,SUM(C512:E512))</f>
        <v>0</v>
      </c>
    </row>
    <row r="513" spans="2:6" x14ac:dyDescent="0.25">
      <c r="B513" s="138" t="str">
        <f>IF(AND(Formeln!$I$11=2,B512&lt;$E$4/Formeln!$M$20),B512+1,IF(AND(Formeln!$I$11=1,B512&lt;$E$4*Formeln!$M$20),B512+1,"xxx"))</f>
        <v>xxx</v>
      </c>
      <c r="C513" s="139" t="str">
        <f t="shared" si="14"/>
        <v>xxx</v>
      </c>
      <c r="D513" s="139" t="str">
        <f t="shared" si="15"/>
        <v>xxx</v>
      </c>
      <c r="E513" s="139" t="str">
        <f>IF(D513="xxx","xxx",IF(AND($E$8=1,Eingabe!$C$7="S"),(C513+D513)*$E$3/Formeln!$L$20,IF(AND($E$8=1,Eingabe!$C$7="K"),(C513-D513)*$E$3/Formeln!$L$20,C513*$E$3/Formeln!$L$20)))</f>
        <v>xxx</v>
      </c>
      <c r="F513" s="139">
        <f>IF(Eingabe!$C$7="K",C513-D513+E513,SUM(C513:E513))</f>
        <v>0</v>
      </c>
    </row>
    <row r="514" spans="2:6" x14ac:dyDescent="0.25">
      <c r="B514" s="138" t="str">
        <f>IF(AND(Formeln!$I$11=2,B513&lt;$E$4/Formeln!$M$20),B513+1,IF(AND(Formeln!$I$11=1,B513&lt;$E$4*Formeln!$M$20),B513+1,"xxx"))</f>
        <v>xxx</v>
      </c>
      <c r="C514" s="139" t="str">
        <f t="shared" si="14"/>
        <v>xxx</v>
      </c>
      <c r="D514" s="139" t="str">
        <f t="shared" si="15"/>
        <v>xxx</v>
      </c>
      <c r="E514" s="139" t="str">
        <f>IF(D514="xxx","xxx",IF(AND($E$8=1,Eingabe!$C$7="S"),(C514+D514)*$E$3/Formeln!$L$20,IF(AND($E$8=1,Eingabe!$C$7="K"),(C514-D514)*$E$3/Formeln!$L$20,C514*$E$3/Formeln!$L$20)))</f>
        <v>xxx</v>
      </c>
      <c r="F514" s="139">
        <f>IF(Eingabe!$C$7="K",C514-D514+E514,SUM(C514:E514))</f>
        <v>0</v>
      </c>
    </row>
    <row r="515" spans="2:6" x14ac:dyDescent="0.25">
      <c r="B515" s="138" t="str">
        <f>IF(AND(Formeln!$I$11=2,B514&lt;$E$4/Formeln!$M$20),B514+1,IF(AND(Formeln!$I$11=1,B514&lt;$E$4*Formeln!$M$20),B514+1,"xxx"))</f>
        <v>xxx</v>
      </c>
      <c r="C515" s="139" t="str">
        <f t="shared" si="14"/>
        <v>xxx</v>
      </c>
      <c r="D515" s="139" t="str">
        <f t="shared" si="15"/>
        <v>xxx</v>
      </c>
      <c r="E515" s="139" t="str">
        <f>IF(D515="xxx","xxx",IF(AND($E$8=1,Eingabe!$C$7="S"),(C515+D515)*$E$3/Formeln!$L$20,IF(AND($E$8=1,Eingabe!$C$7="K"),(C515-D515)*$E$3/Formeln!$L$20,C515*$E$3/Formeln!$L$20)))</f>
        <v>xxx</v>
      </c>
      <c r="F515" s="139">
        <f>IF(Eingabe!$C$7="K",C515-D515+E515,SUM(C515:E515))</f>
        <v>0</v>
      </c>
    </row>
    <row r="516" spans="2:6" x14ac:dyDescent="0.25">
      <c r="B516" s="138" t="str">
        <f>IF(AND(Formeln!$I$11=2,B515&lt;$E$4/Formeln!$M$20),B515+1,IF(AND(Formeln!$I$11=1,B515&lt;$E$4*Formeln!$M$20),B515+1,"xxx"))</f>
        <v>xxx</v>
      </c>
      <c r="C516" s="139" t="str">
        <f t="shared" si="14"/>
        <v>xxx</v>
      </c>
      <c r="D516" s="139" t="str">
        <f t="shared" si="15"/>
        <v>xxx</v>
      </c>
      <c r="E516" s="139" t="str">
        <f>IF(D516="xxx","xxx",IF(AND($E$8=1,Eingabe!$C$7="S"),(C516+D516)*$E$3/Formeln!$L$20,IF(AND($E$8=1,Eingabe!$C$7="K"),(C516-D516)*$E$3/Formeln!$L$20,C516*$E$3/Formeln!$L$20)))</f>
        <v>xxx</v>
      </c>
      <c r="F516" s="139">
        <f>IF(Eingabe!$C$7="K",C516-D516+E516,SUM(C516:E516))</f>
        <v>0</v>
      </c>
    </row>
    <row r="517" spans="2:6" x14ac:dyDescent="0.25">
      <c r="B517" s="138" t="str">
        <f>IF(AND(Formeln!$I$11=2,B516&lt;$E$4/Formeln!$M$20),B516+1,IF(AND(Formeln!$I$11=1,B516&lt;$E$4*Formeln!$M$20),B516+1,"xxx"))</f>
        <v>xxx</v>
      </c>
      <c r="C517" s="139" t="str">
        <f t="shared" si="14"/>
        <v>xxx</v>
      </c>
      <c r="D517" s="139" t="str">
        <f t="shared" si="15"/>
        <v>xxx</v>
      </c>
      <c r="E517" s="139" t="str">
        <f>IF(D517="xxx","xxx",IF(AND($E$8=1,Eingabe!$C$7="S"),(C517+D517)*$E$3/Formeln!$L$20,IF(AND($E$8=1,Eingabe!$C$7="K"),(C517-D517)*$E$3/Formeln!$L$20,C517*$E$3/Formeln!$L$20)))</f>
        <v>xxx</v>
      </c>
      <c r="F517" s="139">
        <f>IF(Eingabe!$C$7="K",C517-D517+E517,SUM(C517:E517))</f>
        <v>0</v>
      </c>
    </row>
    <row r="518" spans="2:6" x14ac:dyDescent="0.25">
      <c r="B518" s="138" t="str">
        <f>IF(AND(Formeln!$I$11=2,B517&lt;$E$4/Formeln!$M$20),B517+1,IF(AND(Formeln!$I$11=1,B517&lt;$E$4*Formeln!$M$20),B517+1,"xxx"))</f>
        <v>xxx</v>
      </c>
      <c r="C518" s="139" t="str">
        <f t="shared" si="14"/>
        <v>xxx</v>
      </c>
      <c r="D518" s="139" t="str">
        <f t="shared" si="15"/>
        <v>xxx</v>
      </c>
      <c r="E518" s="139" t="str">
        <f>IF(D518="xxx","xxx",IF(AND($E$8=1,Eingabe!$C$7="S"),(C518+D518)*$E$3/Formeln!$L$20,IF(AND($E$8=1,Eingabe!$C$7="K"),(C518-D518)*$E$3/Formeln!$L$20,C518*$E$3/Formeln!$L$20)))</f>
        <v>xxx</v>
      </c>
      <c r="F518" s="139">
        <f>IF(Eingabe!$C$7="K",C518-D518+E518,SUM(C518:E518))</f>
        <v>0</v>
      </c>
    </row>
    <row r="519" spans="2:6" x14ac:dyDescent="0.25">
      <c r="B519" s="138" t="str">
        <f>IF(AND(Formeln!$I$11=2,B518&lt;$E$4/Formeln!$M$20),B518+1,IF(AND(Formeln!$I$11=1,B518&lt;$E$4*Formeln!$M$20),B518+1,"xxx"))</f>
        <v>xxx</v>
      </c>
      <c r="C519" s="139" t="str">
        <f t="shared" si="14"/>
        <v>xxx</v>
      </c>
      <c r="D519" s="139" t="str">
        <f t="shared" si="15"/>
        <v>xxx</v>
      </c>
      <c r="E519" s="139" t="str">
        <f>IF(D519="xxx","xxx",IF(AND($E$8=1,Eingabe!$C$7="S"),(C519+D519)*$E$3/Formeln!$L$20,IF(AND($E$8=1,Eingabe!$C$7="K"),(C519-D519)*$E$3/Formeln!$L$20,C519*$E$3/Formeln!$L$20)))</f>
        <v>xxx</v>
      </c>
      <c r="F519" s="139">
        <f>IF(Eingabe!$C$7="K",C519-D519+E519,SUM(C519:E519))</f>
        <v>0</v>
      </c>
    </row>
    <row r="520" spans="2:6" x14ac:dyDescent="0.25">
      <c r="B520" s="138" t="str">
        <f>IF(AND(Formeln!$I$11=2,B519&lt;$E$4/Formeln!$M$20),B519+1,IF(AND(Formeln!$I$11=1,B519&lt;$E$4*Formeln!$M$20),B519+1,"xxx"))</f>
        <v>xxx</v>
      </c>
      <c r="C520" s="139" t="str">
        <f t="shared" si="14"/>
        <v>xxx</v>
      </c>
      <c r="D520" s="139" t="str">
        <f t="shared" si="15"/>
        <v>xxx</v>
      </c>
      <c r="E520" s="139" t="str">
        <f>IF(D520="xxx","xxx",IF(AND($E$8=1,Eingabe!$C$7="S"),(C520+D520)*$E$3/Formeln!$L$20,IF(AND($E$8=1,Eingabe!$C$7="K"),(C520-D520)*$E$3/Formeln!$L$20,C520*$E$3/Formeln!$L$20)))</f>
        <v>xxx</v>
      </c>
      <c r="F520" s="139">
        <f>IF(Eingabe!$C$7="K",C520-D520+E520,SUM(C520:E520))</f>
        <v>0</v>
      </c>
    </row>
    <row r="521" spans="2:6" x14ac:dyDescent="0.25">
      <c r="B521" s="138" t="str">
        <f>IF(AND(Formeln!$I$11=2,B520&lt;$E$4/Formeln!$M$20),B520+1,IF(AND(Formeln!$I$11=1,B520&lt;$E$4*Formeln!$M$20),B520+1,"xxx"))</f>
        <v>xxx</v>
      </c>
      <c r="C521" s="139" t="str">
        <f t="shared" si="14"/>
        <v>xxx</v>
      </c>
      <c r="D521" s="139" t="str">
        <f t="shared" si="15"/>
        <v>xxx</v>
      </c>
      <c r="E521" s="139" t="str">
        <f>IF(D521="xxx","xxx",IF(AND($E$8=1,Eingabe!$C$7="S"),(C521+D521)*$E$3/Formeln!$L$20,IF(AND($E$8=1,Eingabe!$C$7="K"),(C521-D521)*$E$3/Formeln!$L$20,C521*$E$3/Formeln!$L$20)))</f>
        <v>xxx</v>
      </c>
      <c r="F521" s="139">
        <f>IF(Eingabe!$C$7="K",C521-D521+E521,SUM(C521:E521))</f>
        <v>0</v>
      </c>
    </row>
    <row r="522" spans="2:6" x14ac:dyDescent="0.25">
      <c r="B522" s="138" t="str">
        <f>IF(AND(Formeln!$I$11=2,B521&lt;$E$4/Formeln!$M$20),B521+1,IF(AND(Formeln!$I$11=1,B521&lt;$E$4*Formeln!$M$20),B521+1,"xxx"))</f>
        <v>xxx</v>
      </c>
      <c r="C522" s="139" t="str">
        <f t="shared" si="14"/>
        <v>xxx</v>
      </c>
      <c r="D522" s="139" t="str">
        <f t="shared" si="15"/>
        <v>xxx</v>
      </c>
      <c r="E522" s="139" t="str">
        <f>IF(D522="xxx","xxx",IF(AND($E$8=1,Eingabe!$C$7="S"),(C522+D522)*$E$3/Formeln!$L$20,IF(AND($E$8=1,Eingabe!$C$7="K"),(C522-D522)*$E$3/Formeln!$L$20,C522*$E$3/Formeln!$L$20)))</f>
        <v>xxx</v>
      </c>
      <c r="F522" s="139">
        <f>IF(Eingabe!$C$7="K",C522-D522+E522,SUM(C522:E522))</f>
        <v>0</v>
      </c>
    </row>
    <row r="523" spans="2:6" x14ac:dyDescent="0.25">
      <c r="B523" s="138" t="str">
        <f>IF(AND(Formeln!$I$11=2,B522&lt;$E$4/Formeln!$M$20),B522+1,IF(AND(Formeln!$I$11=1,B522&lt;$E$4*Formeln!$M$20),B522+1,"xxx"))</f>
        <v>xxx</v>
      </c>
      <c r="C523" s="139" t="str">
        <f t="shared" si="14"/>
        <v>xxx</v>
      </c>
      <c r="D523" s="139" t="str">
        <f t="shared" si="15"/>
        <v>xxx</v>
      </c>
      <c r="E523" s="139" t="str">
        <f>IF(D523="xxx","xxx",IF(AND($E$8=1,Eingabe!$C$7="S"),(C523+D523)*$E$3/Formeln!$L$20,IF(AND($E$8=1,Eingabe!$C$7="K"),(C523-D523)*$E$3/Formeln!$L$20,C523*$E$3/Formeln!$L$20)))</f>
        <v>xxx</v>
      </c>
      <c r="F523" s="139">
        <f>IF(Eingabe!$C$7="K",C523-D523+E523,SUM(C523:E523))</f>
        <v>0</v>
      </c>
    </row>
    <row r="524" spans="2:6" x14ac:dyDescent="0.25">
      <c r="B524" s="138" t="str">
        <f>IF(AND(Formeln!$I$11=2,B523&lt;$E$4/Formeln!$M$20),B523+1,IF(AND(Formeln!$I$11=1,B523&lt;$E$4*Formeln!$M$20),B523+1,"xxx"))</f>
        <v>xxx</v>
      </c>
      <c r="C524" s="139" t="str">
        <f t="shared" si="14"/>
        <v>xxx</v>
      </c>
      <c r="D524" s="139" t="str">
        <f t="shared" si="15"/>
        <v>xxx</v>
      </c>
      <c r="E524" s="139" t="str">
        <f>IF(D524="xxx","xxx",IF(AND($E$8=1,Eingabe!$C$7="S"),(C524+D524)*$E$3/Formeln!$L$20,IF(AND($E$8=1,Eingabe!$C$7="K"),(C524-D524)*$E$3/Formeln!$L$20,C524*$E$3/Formeln!$L$20)))</f>
        <v>xxx</v>
      </c>
      <c r="F524" s="139">
        <f>IF(Eingabe!$C$7="K",C524-D524+E524,SUM(C524:E524))</f>
        <v>0</v>
      </c>
    </row>
    <row r="525" spans="2:6" x14ac:dyDescent="0.25">
      <c r="B525" s="138" t="str">
        <f>IF(AND(Formeln!$I$11=2,B524&lt;$E$4/Formeln!$M$20),B524+1,IF(AND(Formeln!$I$11=1,B524&lt;$E$4*Formeln!$M$20),B524+1,"xxx"))</f>
        <v>xxx</v>
      </c>
      <c r="C525" s="139" t="str">
        <f t="shared" ref="C525:C588" si="16">IF(B525="xxx","xxx",F524)</f>
        <v>xxx</v>
      </c>
      <c r="D525" s="139" t="str">
        <f t="shared" ref="D525:D588" si="17">IF(C525="xxx","xxx",D524)</f>
        <v>xxx</v>
      </c>
      <c r="E525" s="139" t="str">
        <f>IF(D525="xxx","xxx",IF(AND($E$8=1,Eingabe!$C$7="S"),(C525+D525)*$E$3/Formeln!$L$20,IF(AND($E$8=1,Eingabe!$C$7="K"),(C525-D525)*$E$3/Formeln!$L$20,C525*$E$3/Formeln!$L$20)))</f>
        <v>xxx</v>
      </c>
      <c r="F525" s="139">
        <f>IF(Eingabe!$C$7="K",C525-D525+E525,SUM(C525:E525))</f>
        <v>0</v>
      </c>
    </row>
    <row r="526" spans="2:6" x14ac:dyDescent="0.25">
      <c r="B526" s="138" t="str">
        <f>IF(AND(Formeln!$I$11=2,B525&lt;$E$4/Formeln!$M$20),B525+1,IF(AND(Formeln!$I$11=1,B525&lt;$E$4*Formeln!$M$20),B525+1,"xxx"))</f>
        <v>xxx</v>
      </c>
      <c r="C526" s="139" t="str">
        <f t="shared" si="16"/>
        <v>xxx</v>
      </c>
      <c r="D526" s="139" t="str">
        <f t="shared" si="17"/>
        <v>xxx</v>
      </c>
      <c r="E526" s="139" t="str">
        <f>IF(D526="xxx","xxx",IF(AND($E$8=1,Eingabe!$C$7="S"),(C526+D526)*$E$3/Formeln!$L$20,IF(AND($E$8=1,Eingabe!$C$7="K"),(C526-D526)*$E$3/Formeln!$L$20,C526*$E$3/Formeln!$L$20)))</f>
        <v>xxx</v>
      </c>
      <c r="F526" s="139">
        <f>IF(Eingabe!$C$7="K",C526-D526+E526,SUM(C526:E526))</f>
        <v>0</v>
      </c>
    </row>
    <row r="527" spans="2:6" x14ac:dyDescent="0.25">
      <c r="B527" s="138" t="str">
        <f>IF(AND(Formeln!$I$11=2,B526&lt;$E$4/Formeln!$M$20),B526+1,IF(AND(Formeln!$I$11=1,B526&lt;$E$4*Formeln!$M$20),B526+1,"xxx"))</f>
        <v>xxx</v>
      </c>
      <c r="C527" s="139" t="str">
        <f t="shared" si="16"/>
        <v>xxx</v>
      </c>
      <c r="D527" s="139" t="str">
        <f t="shared" si="17"/>
        <v>xxx</v>
      </c>
      <c r="E527" s="139" t="str">
        <f>IF(D527="xxx","xxx",IF(AND($E$8=1,Eingabe!$C$7="S"),(C527+D527)*$E$3/Formeln!$L$20,IF(AND($E$8=1,Eingabe!$C$7="K"),(C527-D527)*$E$3/Formeln!$L$20,C527*$E$3/Formeln!$L$20)))</f>
        <v>xxx</v>
      </c>
      <c r="F527" s="139">
        <f>IF(Eingabe!$C$7="K",C527-D527+E527,SUM(C527:E527))</f>
        <v>0</v>
      </c>
    </row>
    <row r="528" spans="2:6" x14ac:dyDescent="0.25">
      <c r="B528" s="138" t="str">
        <f>IF(AND(Formeln!$I$11=2,B527&lt;$E$4/Formeln!$M$20),B527+1,IF(AND(Formeln!$I$11=1,B527&lt;$E$4*Formeln!$M$20),B527+1,"xxx"))</f>
        <v>xxx</v>
      </c>
      <c r="C528" s="139" t="str">
        <f t="shared" si="16"/>
        <v>xxx</v>
      </c>
      <c r="D528" s="139" t="str">
        <f t="shared" si="17"/>
        <v>xxx</v>
      </c>
      <c r="E528" s="139" t="str">
        <f>IF(D528="xxx","xxx",IF(AND($E$8=1,Eingabe!$C$7="S"),(C528+D528)*$E$3/Formeln!$L$20,IF(AND($E$8=1,Eingabe!$C$7="K"),(C528-D528)*$E$3/Formeln!$L$20,C528*$E$3/Formeln!$L$20)))</f>
        <v>xxx</v>
      </c>
      <c r="F528" s="139">
        <f>IF(Eingabe!$C$7="K",C528-D528+E528,SUM(C528:E528))</f>
        <v>0</v>
      </c>
    </row>
    <row r="529" spans="2:6" x14ac:dyDescent="0.25">
      <c r="B529" s="138" t="str">
        <f>IF(AND(Formeln!$I$11=2,B528&lt;$E$4/Formeln!$M$20),B528+1,IF(AND(Formeln!$I$11=1,B528&lt;$E$4*Formeln!$M$20),B528+1,"xxx"))</f>
        <v>xxx</v>
      </c>
      <c r="C529" s="139" t="str">
        <f t="shared" si="16"/>
        <v>xxx</v>
      </c>
      <c r="D529" s="139" t="str">
        <f t="shared" si="17"/>
        <v>xxx</v>
      </c>
      <c r="E529" s="139" t="str">
        <f>IF(D529="xxx","xxx",IF(AND($E$8=1,Eingabe!$C$7="S"),(C529+D529)*$E$3/Formeln!$L$20,IF(AND($E$8=1,Eingabe!$C$7="K"),(C529-D529)*$E$3/Formeln!$L$20,C529*$E$3/Formeln!$L$20)))</f>
        <v>xxx</v>
      </c>
      <c r="F529" s="139">
        <f>IF(Eingabe!$C$7="K",C529-D529+E529,SUM(C529:E529))</f>
        <v>0</v>
      </c>
    </row>
    <row r="530" spans="2:6" x14ac:dyDescent="0.25">
      <c r="B530" s="138" t="str">
        <f>IF(AND(Formeln!$I$11=2,B529&lt;$E$4/Formeln!$M$20),B529+1,IF(AND(Formeln!$I$11=1,B529&lt;$E$4*Formeln!$M$20),B529+1,"xxx"))</f>
        <v>xxx</v>
      </c>
      <c r="C530" s="139" t="str">
        <f t="shared" si="16"/>
        <v>xxx</v>
      </c>
      <c r="D530" s="139" t="str">
        <f t="shared" si="17"/>
        <v>xxx</v>
      </c>
      <c r="E530" s="139" t="str">
        <f>IF(D530="xxx","xxx",IF(AND($E$8=1,Eingabe!$C$7="S"),(C530+D530)*$E$3/Formeln!$L$20,IF(AND($E$8=1,Eingabe!$C$7="K"),(C530-D530)*$E$3/Formeln!$L$20,C530*$E$3/Formeln!$L$20)))</f>
        <v>xxx</v>
      </c>
      <c r="F530" s="139">
        <f>IF(Eingabe!$C$7="K",C530-D530+E530,SUM(C530:E530))</f>
        <v>0</v>
      </c>
    </row>
    <row r="531" spans="2:6" x14ac:dyDescent="0.25">
      <c r="B531" s="138" t="str">
        <f>IF(AND(Formeln!$I$11=2,B530&lt;$E$4/Formeln!$M$20),B530+1,IF(AND(Formeln!$I$11=1,B530&lt;$E$4*Formeln!$M$20),B530+1,"xxx"))</f>
        <v>xxx</v>
      </c>
      <c r="C531" s="139" t="str">
        <f t="shared" si="16"/>
        <v>xxx</v>
      </c>
      <c r="D531" s="139" t="str">
        <f t="shared" si="17"/>
        <v>xxx</v>
      </c>
      <c r="E531" s="139" t="str">
        <f>IF(D531="xxx","xxx",IF(AND($E$8=1,Eingabe!$C$7="S"),(C531+D531)*$E$3/Formeln!$L$20,IF(AND($E$8=1,Eingabe!$C$7="K"),(C531-D531)*$E$3/Formeln!$L$20,C531*$E$3/Formeln!$L$20)))</f>
        <v>xxx</v>
      </c>
      <c r="F531" s="139">
        <f>IF(Eingabe!$C$7="K",C531-D531+E531,SUM(C531:E531))</f>
        <v>0</v>
      </c>
    </row>
    <row r="532" spans="2:6" x14ac:dyDescent="0.25">
      <c r="B532" s="138" t="str">
        <f>IF(AND(Formeln!$I$11=2,B531&lt;$E$4/Formeln!$M$20),B531+1,IF(AND(Formeln!$I$11=1,B531&lt;$E$4*Formeln!$M$20),B531+1,"xxx"))</f>
        <v>xxx</v>
      </c>
      <c r="C532" s="139" t="str">
        <f t="shared" si="16"/>
        <v>xxx</v>
      </c>
      <c r="D532" s="139" t="str">
        <f t="shared" si="17"/>
        <v>xxx</v>
      </c>
      <c r="E532" s="139" t="str">
        <f>IF(D532="xxx","xxx",IF(AND($E$8=1,Eingabe!$C$7="S"),(C532+D532)*$E$3/Formeln!$L$20,IF(AND($E$8=1,Eingabe!$C$7="K"),(C532-D532)*$E$3/Formeln!$L$20,C532*$E$3/Formeln!$L$20)))</f>
        <v>xxx</v>
      </c>
      <c r="F532" s="139">
        <f>IF(Eingabe!$C$7="K",C532-D532+E532,SUM(C532:E532))</f>
        <v>0</v>
      </c>
    </row>
    <row r="533" spans="2:6" x14ac:dyDescent="0.25">
      <c r="B533" s="138" t="str">
        <f>IF(AND(Formeln!$I$11=2,B532&lt;$E$4/Formeln!$M$20),B532+1,IF(AND(Formeln!$I$11=1,B532&lt;$E$4*Formeln!$M$20),B532+1,"xxx"))</f>
        <v>xxx</v>
      </c>
      <c r="C533" s="139" t="str">
        <f t="shared" si="16"/>
        <v>xxx</v>
      </c>
      <c r="D533" s="139" t="str">
        <f t="shared" si="17"/>
        <v>xxx</v>
      </c>
      <c r="E533" s="139" t="str">
        <f>IF(D533="xxx","xxx",IF(AND($E$8=1,Eingabe!$C$7="S"),(C533+D533)*$E$3/Formeln!$L$20,IF(AND($E$8=1,Eingabe!$C$7="K"),(C533-D533)*$E$3/Formeln!$L$20,C533*$E$3/Formeln!$L$20)))</f>
        <v>xxx</v>
      </c>
      <c r="F533" s="139">
        <f>IF(Eingabe!$C$7="K",C533-D533+E533,SUM(C533:E533))</f>
        <v>0</v>
      </c>
    </row>
    <row r="534" spans="2:6" x14ac:dyDescent="0.25">
      <c r="B534" s="138" t="str">
        <f>IF(AND(Formeln!$I$11=2,B533&lt;$E$4/Formeln!$M$20),B533+1,IF(AND(Formeln!$I$11=1,B533&lt;$E$4*Formeln!$M$20),B533+1,"xxx"))</f>
        <v>xxx</v>
      </c>
      <c r="C534" s="139" t="str">
        <f t="shared" si="16"/>
        <v>xxx</v>
      </c>
      <c r="D534" s="139" t="str">
        <f t="shared" si="17"/>
        <v>xxx</v>
      </c>
      <c r="E534" s="139" t="str">
        <f>IF(D534="xxx","xxx",IF(AND($E$8=1,Eingabe!$C$7="S"),(C534+D534)*$E$3/Formeln!$L$20,IF(AND($E$8=1,Eingabe!$C$7="K"),(C534-D534)*$E$3/Formeln!$L$20,C534*$E$3/Formeln!$L$20)))</f>
        <v>xxx</v>
      </c>
      <c r="F534" s="139">
        <f>IF(Eingabe!$C$7="K",C534-D534+E534,SUM(C534:E534))</f>
        <v>0</v>
      </c>
    </row>
    <row r="535" spans="2:6" x14ac:dyDescent="0.25">
      <c r="B535" s="138" t="str">
        <f>IF(AND(Formeln!$I$11=2,B534&lt;$E$4/Formeln!$M$20),B534+1,IF(AND(Formeln!$I$11=1,B534&lt;$E$4*Formeln!$M$20),B534+1,"xxx"))</f>
        <v>xxx</v>
      </c>
      <c r="C535" s="139" t="str">
        <f t="shared" si="16"/>
        <v>xxx</v>
      </c>
      <c r="D535" s="139" t="str">
        <f t="shared" si="17"/>
        <v>xxx</v>
      </c>
      <c r="E535" s="139" t="str">
        <f>IF(D535="xxx","xxx",IF(AND($E$8=1,Eingabe!$C$7="S"),(C535+D535)*$E$3/Formeln!$L$20,IF(AND($E$8=1,Eingabe!$C$7="K"),(C535-D535)*$E$3/Formeln!$L$20,C535*$E$3/Formeln!$L$20)))</f>
        <v>xxx</v>
      </c>
      <c r="F535" s="139">
        <f>IF(Eingabe!$C$7="K",C535-D535+E535,SUM(C535:E535))</f>
        <v>0</v>
      </c>
    </row>
    <row r="536" spans="2:6" x14ac:dyDescent="0.25">
      <c r="B536" s="138" t="str">
        <f>IF(AND(Formeln!$I$11=2,B535&lt;$E$4/Formeln!$M$20),B535+1,IF(AND(Formeln!$I$11=1,B535&lt;$E$4*Formeln!$M$20),B535+1,"xxx"))</f>
        <v>xxx</v>
      </c>
      <c r="C536" s="139" t="str">
        <f t="shared" si="16"/>
        <v>xxx</v>
      </c>
      <c r="D536" s="139" t="str">
        <f t="shared" si="17"/>
        <v>xxx</v>
      </c>
      <c r="E536" s="139" t="str">
        <f>IF(D536="xxx","xxx",IF(AND($E$8=1,Eingabe!$C$7="S"),(C536+D536)*$E$3/Formeln!$L$20,IF(AND($E$8=1,Eingabe!$C$7="K"),(C536-D536)*$E$3/Formeln!$L$20,C536*$E$3/Formeln!$L$20)))</f>
        <v>xxx</v>
      </c>
      <c r="F536" s="139">
        <f>IF(Eingabe!$C$7="K",C536-D536+E536,SUM(C536:E536))</f>
        <v>0</v>
      </c>
    </row>
    <row r="537" spans="2:6" x14ac:dyDescent="0.25">
      <c r="B537" s="138" t="str">
        <f>IF(AND(Formeln!$I$11=2,B536&lt;$E$4/Formeln!$M$20),B536+1,IF(AND(Formeln!$I$11=1,B536&lt;$E$4*Formeln!$M$20),B536+1,"xxx"))</f>
        <v>xxx</v>
      </c>
      <c r="C537" s="139" t="str">
        <f t="shared" si="16"/>
        <v>xxx</v>
      </c>
      <c r="D537" s="139" t="str">
        <f t="shared" si="17"/>
        <v>xxx</v>
      </c>
      <c r="E537" s="139" t="str">
        <f>IF(D537="xxx","xxx",IF(AND($E$8=1,Eingabe!$C$7="S"),(C537+D537)*$E$3/Formeln!$L$20,IF(AND($E$8=1,Eingabe!$C$7="K"),(C537-D537)*$E$3/Formeln!$L$20,C537*$E$3/Formeln!$L$20)))</f>
        <v>xxx</v>
      </c>
      <c r="F537" s="139">
        <f>IF(Eingabe!$C$7="K",C537-D537+E537,SUM(C537:E537))</f>
        <v>0</v>
      </c>
    </row>
    <row r="538" spans="2:6" x14ac:dyDescent="0.25">
      <c r="B538" s="138" t="str">
        <f>IF(AND(Formeln!$I$11=2,B537&lt;$E$4/Formeln!$M$20),B537+1,IF(AND(Formeln!$I$11=1,B537&lt;$E$4*Formeln!$M$20),B537+1,"xxx"))</f>
        <v>xxx</v>
      </c>
      <c r="C538" s="139" t="str">
        <f t="shared" si="16"/>
        <v>xxx</v>
      </c>
      <c r="D538" s="139" t="str">
        <f t="shared" si="17"/>
        <v>xxx</v>
      </c>
      <c r="E538" s="139" t="str">
        <f>IF(D538="xxx","xxx",IF(AND($E$8=1,Eingabe!$C$7="S"),(C538+D538)*$E$3/Formeln!$L$20,IF(AND($E$8=1,Eingabe!$C$7="K"),(C538-D538)*$E$3/Formeln!$L$20,C538*$E$3/Formeln!$L$20)))</f>
        <v>xxx</v>
      </c>
      <c r="F538" s="139">
        <f>IF(Eingabe!$C$7="K",C538-D538+E538,SUM(C538:E538))</f>
        <v>0</v>
      </c>
    </row>
    <row r="539" spans="2:6" x14ac:dyDescent="0.25">
      <c r="B539" s="138" t="str">
        <f>IF(AND(Formeln!$I$11=2,B538&lt;$E$4/Formeln!$M$20),B538+1,IF(AND(Formeln!$I$11=1,B538&lt;$E$4*Formeln!$M$20),B538+1,"xxx"))</f>
        <v>xxx</v>
      </c>
      <c r="C539" s="139" t="str">
        <f t="shared" si="16"/>
        <v>xxx</v>
      </c>
      <c r="D539" s="139" t="str">
        <f t="shared" si="17"/>
        <v>xxx</v>
      </c>
      <c r="E539" s="139" t="str">
        <f>IF(D539="xxx","xxx",IF(AND($E$8=1,Eingabe!$C$7="S"),(C539+D539)*$E$3/Formeln!$L$20,IF(AND($E$8=1,Eingabe!$C$7="K"),(C539-D539)*$E$3/Formeln!$L$20,C539*$E$3/Formeln!$L$20)))</f>
        <v>xxx</v>
      </c>
      <c r="F539" s="139">
        <f>IF(Eingabe!$C$7="K",C539-D539+E539,SUM(C539:E539))</f>
        <v>0</v>
      </c>
    </row>
    <row r="540" spans="2:6" x14ac:dyDescent="0.25">
      <c r="B540" s="138" t="str">
        <f>IF(AND(Formeln!$I$11=2,B539&lt;$E$4/Formeln!$M$20),B539+1,IF(AND(Formeln!$I$11=1,B539&lt;$E$4*Formeln!$M$20),B539+1,"xxx"))</f>
        <v>xxx</v>
      </c>
      <c r="C540" s="139" t="str">
        <f t="shared" si="16"/>
        <v>xxx</v>
      </c>
      <c r="D540" s="139" t="str">
        <f t="shared" si="17"/>
        <v>xxx</v>
      </c>
      <c r="E540" s="139" t="str">
        <f>IF(D540="xxx","xxx",IF(AND($E$8=1,Eingabe!$C$7="S"),(C540+D540)*$E$3/Formeln!$L$20,IF(AND($E$8=1,Eingabe!$C$7="K"),(C540-D540)*$E$3/Formeln!$L$20,C540*$E$3/Formeln!$L$20)))</f>
        <v>xxx</v>
      </c>
      <c r="F540" s="139">
        <f>IF(Eingabe!$C$7="K",C540-D540+E540,SUM(C540:E540))</f>
        <v>0</v>
      </c>
    </row>
    <row r="541" spans="2:6" x14ac:dyDescent="0.25">
      <c r="B541" s="138" t="str">
        <f>IF(AND(Formeln!$I$11=2,B540&lt;$E$4/Formeln!$M$20),B540+1,IF(AND(Formeln!$I$11=1,B540&lt;$E$4*Formeln!$M$20),B540+1,"xxx"))</f>
        <v>xxx</v>
      </c>
      <c r="C541" s="139" t="str">
        <f t="shared" si="16"/>
        <v>xxx</v>
      </c>
      <c r="D541" s="139" t="str">
        <f t="shared" si="17"/>
        <v>xxx</v>
      </c>
      <c r="E541" s="139" t="str">
        <f>IF(D541="xxx","xxx",IF(AND($E$8=1,Eingabe!$C$7="S"),(C541+D541)*$E$3/Formeln!$L$20,IF(AND($E$8=1,Eingabe!$C$7="K"),(C541-D541)*$E$3/Formeln!$L$20,C541*$E$3/Formeln!$L$20)))</f>
        <v>xxx</v>
      </c>
      <c r="F541" s="139">
        <f>IF(Eingabe!$C$7="K",C541-D541+E541,SUM(C541:E541))</f>
        <v>0</v>
      </c>
    </row>
    <row r="542" spans="2:6" x14ac:dyDescent="0.25">
      <c r="B542" s="138" t="str">
        <f>IF(AND(Formeln!$I$11=2,B541&lt;$E$4/Formeln!$M$20),B541+1,IF(AND(Formeln!$I$11=1,B541&lt;$E$4*Formeln!$M$20),B541+1,"xxx"))</f>
        <v>xxx</v>
      </c>
      <c r="C542" s="139" t="str">
        <f t="shared" si="16"/>
        <v>xxx</v>
      </c>
      <c r="D542" s="139" t="str">
        <f t="shared" si="17"/>
        <v>xxx</v>
      </c>
      <c r="E542" s="139" t="str">
        <f>IF(D542="xxx","xxx",IF(AND($E$8=1,Eingabe!$C$7="S"),(C542+D542)*$E$3/Formeln!$L$20,IF(AND($E$8=1,Eingabe!$C$7="K"),(C542-D542)*$E$3/Formeln!$L$20,C542*$E$3/Formeln!$L$20)))</f>
        <v>xxx</v>
      </c>
      <c r="F542" s="139">
        <f>IF(Eingabe!$C$7="K",C542-D542+E542,SUM(C542:E542))</f>
        <v>0</v>
      </c>
    </row>
    <row r="543" spans="2:6" x14ac:dyDescent="0.25">
      <c r="B543" s="138" t="str">
        <f>IF(AND(Formeln!$I$11=2,B542&lt;$E$4/Formeln!$M$20),B542+1,IF(AND(Formeln!$I$11=1,B542&lt;$E$4*Formeln!$M$20),B542+1,"xxx"))</f>
        <v>xxx</v>
      </c>
      <c r="C543" s="139" t="str">
        <f t="shared" si="16"/>
        <v>xxx</v>
      </c>
      <c r="D543" s="139" t="str">
        <f t="shared" si="17"/>
        <v>xxx</v>
      </c>
      <c r="E543" s="139" t="str">
        <f>IF(D543="xxx","xxx",IF(AND($E$8=1,Eingabe!$C$7="S"),(C543+D543)*$E$3/Formeln!$L$20,IF(AND($E$8=1,Eingabe!$C$7="K"),(C543-D543)*$E$3/Formeln!$L$20,C543*$E$3/Formeln!$L$20)))</f>
        <v>xxx</v>
      </c>
      <c r="F543" s="139">
        <f>IF(Eingabe!$C$7="K",C543-D543+E543,SUM(C543:E543))</f>
        <v>0</v>
      </c>
    </row>
    <row r="544" spans="2:6" x14ac:dyDescent="0.25">
      <c r="B544" s="138" t="str">
        <f>IF(AND(Formeln!$I$11=2,B543&lt;$E$4/Formeln!$M$20),B543+1,IF(AND(Formeln!$I$11=1,B543&lt;$E$4*Formeln!$M$20),B543+1,"xxx"))</f>
        <v>xxx</v>
      </c>
      <c r="C544" s="139" t="str">
        <f t="shared" si="16"/>
        <v>xxx</v>
      </c>
      <c r="D544" s="139" t="str">
        <f t="shared" si="17"/>
        <v>xxx</v>
      </c>
      <c r="E544" s="139" t="str">
        <f>IF(D544="xxx","xxx",IF(AND($E$8=1,Eingabe!$C$7="S"),(C544+D544)*$E$3/Formeln!$L$20,IF(AND($E$8=1,Eingabe!$C$7="K"),(C544-D544)*$E$3/Formeln!$L$20,C544*$E$3/Formeln!$L$20)))</f>
        <v>xxx</v>
      </c>
      <c r="F544" s="139">
        <f>IF(Eingabe!$C$7="K",C544-D544+E544,SUM(C544:E544))</f>
        <v>0</v>
      </c>
    </row>
    <row r="545" spans="2:6" x14ac:dyDescent="0.25">
      <c r="B545" s="138" t="str">
        <f>IF(AND(Formeln!$I$11=2,B544&lt;$E$4/Formeln!$M$20),B544+1,IF(AND(Formeln!$I$11=1,B544&lt;$E$4*Formeln!$M$20),B544+1,"xxx"))</f>
        <v>xxx</v>
      </c>
      <c r="C545" s="139" t="str">
        <f t="shared" si="16"/>
        <v>xxx</v>
      </c>
      <c r="D545" s="139" t="str">
        <f t="shared" si="17"/>
        <v>xxx</v>
      </c>
      <c r="E545" s="139" t="str">
        <f>IF(D545="xxx","xxx",IF(AND($E$8=1,Eingabe!$C$7="S"),(C545+D545)*$E$3/Formeln!$L$20,IF(AND($E$8=1,Eingabe!$C$7="K"),(C545-D545)*$E$3/Formeln!$L$20,C545*$E$3/Formeln!$L$20)))</f>
        <v>xxx</v>
      </c>
      <c r="F545" s="139">
        <f>IF(Eingabe!$C$7="K",C545-D545+E545,SUM(C545:E545))</f>
        <v>0</v>
      </c>
    </row>
    <row r="546" spans="2:6" x14ac:dyDescent="0.25">
      <c r="B546" s="138" t="str">
        <f>IF(AND(Formeln!$I$11=2,B545&lt;$E$4/Formeln!$M$20),B545+1,IF(AND(Formeln!$I$11=1,B545&lt;$E$4*Formeln!$M$20),B545+1,"xxx"))</f>
        <v>xxx</v>
      </c>
      <c r="C546" s="139" t="str">
        <f t="shared" si="16"/>
        <v>xxx</v>
      </c>
      <c r="D546" s="139" t="str">
        <f t="shared" si="17"/>
        <v>xxx</v>
      </c>
      <c r="E546" s="139" t="str">
        <f>IF(D546="xxx","xxx",IF(AND($E$8=1,Eingabe!$C$7="S"),(C546+D546)*$E$3/Formeln!$L$20,IF(AND($E$8=1,Eingabe!$C$7="K"),(C546-D546)*$E$3/Formeln!$L$20,C546*$E$3/Formeln!$L$20)))</f>
        <v>xxx</v>
      </c>
      <c r="F546" s="139">
        <f>IF(Eingabe!$C$7="K",C546-D546+E546,SUM(C546:E546))</f>
        <v>0</v>
      </c>
    </row>
    <row r="547" spans="2:6" x14ac:dyDescent="0.25">
      <c r="B547" s="138" t="str">
        <f>IF(AND(Formeln!$I$11=2,B546&lt;$E$4/Formeln!$M$20),B546+1,IF(AND(Formeln!$I$11=1,B546&lt;$E$4*Formeln!$M$20),B546+1,"xxx"))</f>
        <v>xxx</v>
      </c>
      <c r="C547" s="139" t="str">
        <f t="shared" si="16"/>
        <v>xxx</v>
      </c>
      <c r="D547" s="139" t="str">
        <f t="shared" si="17"/>
        <v>xxx</v>
      </c>
      <c r="E547" s="139" t="str">
        <f>IF(D547="xxx","xxx",IF(AND($E$8=1,Eingabe!$C$7="S"),(C547+D547)*$E$3/Formeln!$L$20,IF(AND($E$8=1,Eingabe!$C$7="K"),(C547-D547)*$E$3/Formeln!$L$20,C547*$E$3/Formeln!$L$20)))</f>
        <v>xxx</v>
      </c>
      <c r="F547" s="139">
        <f>IF(Eingabe!$C$7="K",C547-D547+E547,SUM(C547:E547))</f>
        <v>0</v>
      </c>
    </row>
    <row r="548" spans="2:6" x14ac:dyDescent="0.25">
      <c r="B548" s="138" t="str">
        <f>IF(AND(Formeln!$I$11=2,B547&lt;$E$4/Formeln!$M$20),B547+1,IF(AND(Formeln!$I$11=1,B547&lt;$E$4*Formeln!$M$20),B547+1,"xxx"))</f>
        <v>xxx</v>
      </c>
      <c r="C548" s="139" t="str">
        <f t="shared" si="16"/>
        <v>xxx</v>
      </c>
      <c r="D548" s="139" t="str">
        <f t="shared" si="17"/>
        <v>xxx</v>
      </c>
      <c r="E548" s="139" t="str">
        <f>IF(D548="xxx","xxx",IF(AND($E$8=1,Eingabe!$C$7="S"),(C548+D548)*$E$3/Formeln!$L$20,IF(AND($E$8=1,Eingabe!$C$7="K"),(C548-D548)*$E$3/Formeln!$L$20,C548*$E$3/Formeln!$L$20)))</f>
        <v>xxx</v>
      </c>
      <c r="F548" s="139">
        <f>IF(Eingabe!$C$7="K",C548-D548+E548,SUM(C548:E548))</f>
        <v>0</v>
      </c>
    </row>
    <row r="549" spans="2:6" x14ac:dyDescent="0.25">
      <c r="B549" s="138" t="str">
        <f>IF(AND(Formeln!$I$11=2,B548&lt;$E$4/Formeln!$M$20),B548+1,IF(AND(Formeln!$I$11=1,B548&lt;$E$4*Formeln!$M$20),B548+1,"xxx"))</f>
        <v>xxx</v>
      </c>
      <c r="C549" s="139" t="str">
        <f t="shared" si="16"/>
        <v>xxx</v>
      </c>
      <c r="D549" s="139" t="str">
        <f t="shared" si="17"/>
        <v>xxx</v>
      </c>
      <c r="E549" s="139" t="str">
        <f>IF(D549="xxx","xxx",IF(AND($E$8=1,Eingabe!$C$7="S"),(C549+D549)*$E$3/Formeln!$L$20,IF(AND($E$8=1,Eingabe!$C$7="K"),(C549-D549)*$E$3/Formeln!$L$20,C549*$E$3/Formeln!$L$20)))</f>
        <v>xxx</v>
      </c>
      <c r="F549" s="139">
        <f>IF(Eingabe!$C$7="K",C549-D549+E549,SUM(C549:E549))</f>
        <v>0</v>
      </c>
    </row>
    <row r="550" spans="2:6" x14ac:dyDescent="0.25">
      <c r="B550" s="138" t="str">
        <f>IF(AND(Formeln!$I$11=2,B549&lt;$E$4/Formeln!$M$20),B549+1,IF(AND(Formeln!$I$11=1,B549&lt;$E$4*Formeln!$M$20),B549+1,"xxx"))</f>
        <v>xxx</v>
      </c>
      <c r="C550" s="139" t="str">
        <f t="shared" si="16"/>
        <v>xxx</v>
      </c>
      <c r="D550" s="139" t="str">
        <f t="shared" si="17"/>
        <v>xxx</v>
      </c>
      <c r="E550" s="139" t="str">
        <f>IF(D550="xxx","xxx",IF(AND($E$8=1,Eingabe!$C$7="S"),(C550+D550)*$E$3/Formeln!$L$20,IF(AND($E$8=1,Eingabe!$C$7="K"),(C550-D550)*$E$3/Formeln!$L$20,C550*$E$3/Formeln!$L$20)))</f>
        <v>xxx</v>
      </c>
      <c r="F550" s="139">
        <f>IF(Eingabe!$C$7="K",C550-D550+E550,SUM(C550:E550))</f>
        <v>0</v>
      </c>
    </row>
    <row r="551" spans="2:6" x14ac:dyDescent="0.25">
      <c r="B551" s="138" t="str">
        <f>IF(AND(Formeln!$I$11=2,B550&lt;$E$4/Formeln!$M$20),B550+1,IF(AND(Formeln!$I$11=1,B550&lt;$E$4*Formeln!$M$20),B550+1,"xxx"))</f>
        <v>xxx</v>
      </c>
      <c r="C551" s="139" t="str">
        <f t="shared" si="16"/>
        <v>xxx</v>
      </c>
      <c r="D551" s="139" t="str">
        <f t="shared" si="17"/>
        <v>xxx</v>
      </c>
      <c r="E551" s="139" t="str">
        <f>IF(D551="xxx","xxx",IF(AND($E$8=1,Eingabe!$C$7="S"),(C551+D551)*$E$3/Formeln!$L$20,IF(AND($E$8=1,Eingabe!$C$7="K"),(C551-D551)*$E$3/Formeln!$L$20,C551*$E$3/Formeln!$L$20)))</f>
        <v>xxx</v>
      </c>
      <c r="F551" s="139">
        <f>IF(Eingabe!$C$7="K",C551-D551+E551,SUM(C551:E551))</f>
        <v>0</v>
      </c>
    </row>
    <row r="552" spans="2:6" x14ac:dyDescent="0.25">
      <c r="B552" s="138" t="str">
        <f>IF(AND(Formeln!$I$11=2,B551&lt;$E$4/Formeln!$M$20),B551+1,IF(AND(Formeln!$I$11=1,B551&lt;$E$4*Formeln!$M$20),B551+1,"xxx"))</f>
        <v>xxx</v>
      </c>
      <c r="C552" s="139" t="str">
        <f t="shared" si="16"/>
        <v>xxx</v>
      </c>
      <c r="D552" s="139" t="str">
        <f t="shared" si="17"/>
        <v>xxx</v>
      </c>
      <c r="E552" s="139" t="str">
        <f>IF(D552="xxx","xxx",IF(AND($E$8=1,Eingabe!$C$7="S"),(C552+D552)*$E$3/Formeln!$L$20,IF(AND($E$8=1,Eingabe!$C$7="K"),(C552-D552)*$E$3/Formeln!$L$20,C552*$E$3/Formeln!$L$20)))</f>
        <v>xxx</v>
      </c>
      <c r="F552" s="139">
        <f>IF(Eingabe!$C$7="K",C552-D552+E552,SUM(C552:E552))</f>
        <v>0</v>
      </c>
    </row>
    <row r="553" spans="2:6" x14ac:dyDescent="0.25">
      <c r="B553" s="138" t="str">
        <f>IF(AND(Formeln!$I$11=2,B552&lt;$E$4/Formeln!$M$20),B552+1,IF(AND(Formeln!$I$11=1,B552&lt;$E$4*Formeln!$M$20),B552+1,"xxx"))</f>
        <v>xxx</v>
      </c>
      <c r="C553" s="139" t="str">
        <f t="shared" si="16"/>
        <v>xxx</v>
      </c>
      <c r="D553" s="139" t="str">
        <f t="shared" si="17"/>
        <v>xxx</v>
      </c>
      <c r="E553" s="139" t="str">
        <f>IF(D553="xxx","xxx",IF(AND($E$8=1,Eingabe!$C$7="S"),(C553+D553)*$E$3/Formeln!$L$20,IF(AND($E$8=1,Eingabe!$C$7="K"),(C553-D553)*$E$3/Formeln!$L$20,C553*$E$3/Formeln!$L$20)))</f>
        <v>xxx</v>
      </c>
      <c r="F553" s="139">
        <f>IF(Eingabe!$C$7="K",C553-D553+E553,SUM(C553:E553))</f>
        <v>0</v>
      </c>
    </row>
    <row r="554" spans="2:6" x14ac:dyDescent="0.25">
      <c r="B554" s="138" t="str">
        <f>IF(AND(Formeln!$I$11=2,B553&lt;$E$4/Formeln!$M$20),B553+1,IF(AND(Formeln!$I$11=1,B553&lt;$E$4*Formeln!$M$20),B553+1,"xxx"))</f>
        <v>xxx</v>
      </c>
      <c r="C554" s="139" t="str">
        <f t="shared" si="16"/>
        <v>xxx</v>
      </c>
      <c r="D554" s="139" t="str">
        <f t="shared" si="17"/>
        <v>xxx</v>
      </c>
      <c r="E554" s="139" t="str">
        <f>IF(D554="xxx","xxx",IF(AND($E$8=1,Eingabe!$C$7="S"),(C554+D554)*$E$3/Formeln!$L$20,IF(AND($E$8=1,Eingabe!$C$7="K"),(C554-D554)*$E$3/Formeln!$L$20,C554*$E$3/Formeln!$L$20)))</f>
        <v>xxx</v>
      </c>
      <c r="F554" s="139">
        <f>IF(Eingabe!$C$7="K",C554-D554+E554,SUM(C554:E554))</f>
        <v>0</v>
      </c>
    </row>
    <row r="555" spans="2:6" x14ac:dyDescent="0.25">
      <c r="B555" s="138" t="str">
        <f>IF(AND(Formeln!$I$11=2,B554&lt;$E$4/Formeln!$M$20),B554+1,IF(AND(Formeln!$I$11=1,B554&lt;$E$4*Formeln!$M$20),B554+1,"xxx"))</f>
        <v>xxx</v>
      </c>
      <c r="C555" s="139" t="str">
        <f t="shared" si="16"/>
        <v>xxx</v>
      </c>
      <c r="D555" s="139" t="str">
        <f t="shared" si="17"/>
        <v>xxx</v>
      </c>
      <c r="E555" s="139" t="str">
        <f>IF(D555="xxx","xxx",IF(AND($E$8=1,Eingabe!$C$7="S"),(C555+D555)*$E$3/Formeln!$L$20,IF(AND($E$8=1,Eingabe!$C$7="K"),(C555-D555)*$E$3/Formeln!$L$20,C555*$E$3/Formeln!$L$20)))</f>
        <v>xxx</v>
      </c>
      <c r="F555" s="139">
        <f>IF(Eingabe!$C$7="K",C555-D555+E555,SUM(C555:E555))</f>
        <v>0</v>
      </c>
    </row>
    <row r="556" spans="2:6" x14ac:dyDescent="0.25">
      <c r="B556" s="138" t="str">
        <f>IF(AND(Formeln!$I$11=2,B555&lt;$E$4/Formeln!$M$20),B555+1,IF(AND(Formeln!$I$11=1,B555&lt;$E$4*Formeln!$M$20),B555+1,"xxx"))</f>
        <v>xxx</v>
      </c>
      <c r="C556" s="139" t="str">
        <f t="shared" si="16"/>
        <v>xxx</v>
      </c>
      <c r="D556" s="139" t="str">
        <f t="shared" si="17"/>
        <v>xxx</v>
      </c>
      <c r="E556" s="139" t="str">
        <f>IF(D556="xxx","xxx",IF(AND($E$8=1,Eingabe!$C$7="S"),(C556+D556)*$E$3/Formeln!$L$20,IF(AND($E$8=1,Eingabe!$C$7="K"),(C556-D556)*$E$3/Formeln!$L$20,C556*$E$3/Formeln!$L$20)))</f>
        <v>xxx</v>
      </c>
      <c r="F556" s="139">
        <f>IF(Eingabe!$C$7="K",C556-D556+E556,SUM(C556:E556))</f>
        <v>0</v>
      </c>
    </row>
    <row r="557" spans="2:6" x14ac:dyDescent="0.25">
      <c r="B557" s="138" t="str">
        <f>IF(AND(Formeln!$I$11=2,B556&lt;$E$4/Formeln!$M$20),B556+1,IF(AND(Formeln!$I$11=1,B556&lt;$E$4*Formeln!$M$20),B556+1,"xxx"))</f>
        <v>xxx</v>
      </c>
      <c r="C557" s="139" t="str">
        <f t="shared" si="16"/>
        <v>xxx</v>
      </c>
      <c r="D557" s="139" t="str">
        <f t="shared" si="17"/>
        <v>xxx</v>
      </c>
      <c r="E557" s="139" t="str">
        <f>IF(D557="xxx","xxx",IF(AND($E$8=1,Eingabe!$C$7="S"),(C557+D557)*$E$3/Formeln!$L$20,IF(AND($E$8=1,Eingabe!$C$7="K"),(C557-D557)*$E$3/Formeln!$L$20,C557*$E$3/Formeln!$L$20)))</f>
        <v>xxx</v>
      </c>
      <c r="F557" s="139">
        <f>IF(Eingabe!$C$7="K",C557-D557+E557,SUM(C557:E557))</f>
        <v>0</v>
      </c>
    </row>
    <row r="558" spans="2:6" x14ac:dyDescent="0.25">
      <c r="B558" s="138" t="str">
        <f>IF(AND(Formeln!$I$11=2,B557&lt;$E$4/Formeln!$M$20),B557+1,IF(AND(Formeln!$I$11=1,B557&lt;$E$4*Formeln!$M$20),B557+1,"xxx"))</f>
        <v>xxx</v>
      </c>
      <c r="C558" s="139" t="str">
        <f t="shared" si="16"/>
        <v>xxx</v>
      </c>
      <c r="D558" s="139" t="str">
        <f t="shared" si="17"/>
        <v>xxx</v>
      </c>
      <c r="E558" s="139" t="str">
        <f>IF(D558="xxx","xxx",IF(AND($E$8=1,Eingabe!$C$7="S"),(C558+D558)*$E$3/Formeln!$L$20,IF(AND($E$8=1,Eingabe!$C$7="K"),(C558-D558)*$E$3/Formeln!$L$20,C558*$E$3/Formeln!$L$20)))</f>
        <v>xxx</v>
      </c>
      <c r="F558" s="139">
        <f>IF(Eingabe!$C$7="K",C558-D558+E558,SUM(C558:E558))</f>
        <v>0</v>
      </c>
    </row>
    <row r="559" spans="2:6" x14ac:dyDescent="0.25">
      <c r="B559" s="138" t="str">
        <f>IF(AND(Formeln!$I$11=2,B558&lt;$E$4/Formeln!$M$20),B558+1,IF(AND(Formeln!$I$11=1,B558&lt;$E$4*Formeln!$M$20),B558+1,"xxx"))</f>
        <v>xxx</v>
      </c>
      <c r="C559" s="139" t="str">
        <f t="shared" si="16"/>
        <v>xxx</v>
      </c>
      <c r="D559" s="139" t="str">
        <f t="shared" si="17"/>
        <v>xxx</v>
      </c>
      <c r="E559" s="139" t="str">
        <f>IF(D559="xxx","xxx",IF(AND($E$8=1,Eingabe!$C$7="S"),(C559+D559)*$E$3/Formeln!$L$20,IF(AND($E$8=1,Eingabe!$C$7="K"),(C559-D559)*$E$3/Formeln!$L$20,C559*$E$3/Formeln!$L$20)))</f>
        <v>xxx</v>
      </c>
      <c r="F559" s="139">
        <f>IF(Eingabe!$C$7="K",C559-D559+E559,SUM(C559:E559))</f>
        <v>0</v>
      </c>
    </row>
    <row r="560" spans="2:6" x14ac:dyDescent="0.25">
      <c r="B560" s="138" t="str">
        <f>IF(AND(Formeln!$I$11=2,B559&lt;$E$4/Formeln!$M$20),B559+1,IF(AND(Formeln!$I$11=1,B559&lt;$E$4*Formeln!$M$20),B559+1,"xxx"))</f>
        <v>xxx</v>
      </c>
      <c r="C560" s="139" t="str">
        <f t="shared" si="16"/>
        <v>xxx</v>
      </c>
      <c r="D560" s="139" t="str">
        <f t="shared" si="17"/>
        <v>xxx</v>
      </c>
      <c r="E560" s="139" t="str">
        <f>IF(D560="xxx","xxx",IF(AND($E$8=1,Eingabe!$C$7="S"),(C560+D560)*$E$3/Formeln!$L$20,IF(AND($E$8=1,Eingabe!$C$7="K"),(C560-D560)*$E$3/Formeln!$L$20,C560*$E$3/Formeln!$L$20)))</f>
        <v>xxx</v>
      </c>
      <c r="F560" s="139">
        <f>IF(Eingabe!$C$7="K",C560-D560+E560,SUM(C560:E560))</f>
        <v>0</v>
      </c>
    </row>
    <row r="561" spans="2:6" x14ac:dyDescent="0.25">
      <c r="B561" s="138" t="str">
        <f>IF(AND(Formeln!$I$11=2,B560&lt;$E$4/Formeln!$M$20),B560+1,IF(AND(Formeln!$I$11=1,B560&lt;$E$4*Formeln!$M$20),B560+1,"xxx"))</f>
        <v>xxx</v>
      </c>
      <c r="C561" s="139" t="str">
        <f t="shared" si="16"/>
        <v>xxx</v>
      </c>
      <c r="D561" s="139" t="str">
        <f t="shared" si="17"/>
        <v>xxx</v>
      </c>
      <c r="E561" s="139" t="str">
        <f>IF(D561="xxx","xxx",IF(AND($E$8=1,Eingabe!$C$7="S"),(C561+D561)*$E$3/Formeln!$L$20,IF(AND($E$8=1,Eingabe!$C$7="K"),(C561-D561)*$E$3/Formeln!$L$20,C561*$E$3/Formeln!$L$20)))</f>
        <v>xxx</v>
      </c>
      <c r="F561" s="139">
        <f>IF(Eingabe!$C$7="K",C561-D561+E561,SUM(C561:E561))</f>
        <v>0</v>
      </c>
    </row>
    <row r="562" spans="2:6" x14ac:dyDescent="0.25">
      <c r="B562" s="138" t="str">
        <f>IF(AND(Formeln!$I$11=2,B561&lt;$E$4/Formeln!$M$20),B561+1,IF(AND(Formeln!$I$11=1,B561&lt;$E$4*Formeln!$M$20),B561+1,"xxx"))</f>
        <v>xxx</v>
      </c>
      <c r="C562" s="139" t="str">
        <f t="shared" si="16"/>
        <v>xxx</v>
      </c>
      <c r="D562" s="139" t="str">
        <f t="shared" si="17"/>
        <v>xxx</v>
      </c>
      <c r="E562" s="139" t="str">
        <f>IF(D562="xxx","xxx",IF(AND($E$8=1,Eingabe!$C$7="S"),(C562+D562)*$E$3/Formeln!$L$20,IF(AND($E$8=1,Eingabe!$C$7="K"),(C562-D562)*$E$3/Formeln!$L$20,C562*$E$3/Formeln!$L$20)))</f>
        <v>xxx</v>
      </c>
      <c r="F562" s="139">
        <f>IF(Eingabe!$C$7="K",C562-D562+E562,SUM(C562:E562))</f>
        <v>0</v>
      </c>
    </row>
    <row r="563" spans="2:6" x14ac:dyDescent="0.25">
      <c r="B563" s="138" t="str">
        <f>IF(AND(Formeln!$I$11=2,B562&lt;$E$4/Formeln!$M$20),B562+1,IF(AND(Formeln!$I$11=1,B562&lt;$E$4*Formeln!$M$20),B562+1,"xxx"))</f>
        <v>xxx</v>
      </c>
      <c r="C563" s="139" t="str">
        <f t="shared" si="16"/>
        <v>xxx</v>
      </c>
      <c r="D563" s="139" t="str">
        <f t="shared" si="17"/>
        <v>xxx</v>
      </c>
      <c r="E563" s="139" t="str">
        <f>IF(D563="xxx","xxx",IF(AND($E$8=1,Eingabe!$C$7="S"),(C563+D563)*$E$3/Formeln!$L$20,IF(AND($E$8=1,Eingabe!$C$7="K"),(C563-D563)*$E$3/Formeln!$L$20,C563*$E$3/Formeln!$L$20)))</f>
        <v>xxx</v>
      </c>
      <c r="F563" s="139">
        <f>IF(Eingabe!$C$7="K",C563-D563+E563,SUM(C563:E563))</f>
        <v>0</v>
      </c>
    </row>
    <row r="564" spans="2:6" x14ac:dyDescent="0.25">
      <c r="B564" s="138" t="str">
        <f>IF(AND(Formeln!$I$11=2,B563&lt;$E$4/Formeln!$M$20),B563+1,IF(AND(Formeln!$I$11=1,B563&lt;$E$4*Formeln!$M$20),B563+1,"xxx"))</f>
        <v>xxx</v>
      </c>
      <c r="C564" s="139" t="str">
        <f t="shared" si="16"/>
        <v>xxx</v>
      </c>
      <c r="D564" s="139" t="str">
        <f t="shared" si="17"/>
        <v>xxx</v>
      </c>
      <c r="E564" s="139" t="str">
        <f>IF(D564="xxx","xxx",IF(AND($E$8=1,Eingabe!$C$7="S"),(C564+D564)*$E$3/Formeln!$L$20,IF(AND($E$8=1,Eingabe!$C$7="K"),(C564-D564)*$E$3/Formeln!$L$20,C564*$E$3/Formeln!$L$20)))</f>
        <v>xxx</v>
      </c>
      <c r="F564" s="139">
        <f>IF(Eingabe!$C$7="K",C564-D564+E564,SUM(C564:E564))</f>
        <v>0</v>
      </c>
    </row>
    <row r="565" spans="2:6" x14ac:dyDescent="0.25">
      <c r="B565" s="138" t="str">
        <f>IF(AND(Formeln!$I$11=2,B564&lt;$E$4/Formeln!$M$20),B564+1,IF(AND(Formeln!$I$11=1,B564&lt;$E$4*Formeln!$M$20),B564+1,"xxx"))</f>
        <v>xxx</v>
      </c>
      <c r="C565" s="139" t="str">
        <f t="shared" si="16"/>
        <v>xxx</v>
      </c>
      <c r="D565" s="139" t="str">
        <f t="shared" si="17"/>
        <v>xxx</v>
      </c>
      <c r="E565" s="139" t="str">
        <f>IF(D565="xxx","xxx",IF(AND($E$8=1,Eingabe!$C$7="S"),(C565+D565)*$E$3/Formeln!$L$20,IF(AND($E$8=1,Eingabe!$C$7="K"),(C565-D565)*$E$3/Formeln!$L$20,C565*$E$3/Formeln!$L$20)))</f>
        <v>xxx</v>
      </c>
      <c r="F565" s="139">
        <f>IF(Eingabe!$C$7="K",C565-D565+E565,SUM(C565:E565))</f>
        <v>0</v>
      </c>
    </row>
    <row r="566" spans="2:6" x14ac:dyDescent="0.25">
      <c r="B566" s="138" t="str">
        <f>IF(AND(Formeln!$I$11=2,B565&lt;$E$4/Formeln!$M$20),B565+1,IF(AND(Formeln!$I$11=1,B565&lt;$E$4*Formeln!$M$20),B565+1,"xxx"))</f>
        <v>xxx</v>
      </c>
      <c r="C566" s="139" t="str">
        <f t="shared" si="16"/>
        <v>xxx</v>
      </c>
      <c r="D566" s="139" t="str">
        <f t="shared" si="17"/>
        <v>xxx</v>
      </c>
      <c r="E566" s="139" t="str">
        <f>IF(D566="xxx","xxx",IF(AND($E$8=1,Eingabe!$C$7="S"),(C566+D566)*$E$3/Formeln!$L$20,IF(AND($E$8=1,Eingabe!$C$7="K"),(C566-D566)*$E$3/Formeln!$L$20,C566*$E$3/Formeln!$L$20)))</f>
        <v>xxx</v>
      </c>
      <c r="F566" s="139">
        <f>IF(Eingabe!$C$7="K",C566-D566+E566,SUM(C566:E566))</f>
        <v>0</v>
      </c>
    </row>
    <row r="567" spans="2:6" x14ac:dyDescent="0.25">
      <c r="B567" s="138" t="str">
        <f>IF(AND(Formeln!$I$11=2,B566&lt;$E$4/Formeln!$M$20),B566+1,IF(AND(Formeln!$I$11=1,B566&lt;$E$4*Formeln!$M$20),B566+1,"xxx"))</f>
        <v>xxx</v>
      </c>
      <c r="C567" s="139" t="str">
        <f t="shared" si="16"/>
        <v>xxx</v>
      </c>
      <c r="D567" s="139" t="str">
        <f t="shared" si="17"/>
        <v>xxx</v>
      </c>
      <c r="E567" s="139" t="str">
        <f>IF(D567="xxx","xxx",IF(AND($E$8=1,Eingabe!$C$7="S"),(C567+D567)*$E$3/Formeln!$L$20,IF(AND($E$8=1,Eingabe!$C$7="K"),(C567-D567)*$E$3/Formeln!$L$20,C567*$E$3/Formeln!$L$20)))</f>
        <v>xxx</v>
      </c>
      <c r="F567" s="139">
        <f>IF(Eingabe!$C$7="K",C567-D567+E567,SUM(C567:E567))</f>
        <v>0</v>
      </c>
    </row>
    <row r="568" spans="2:6" x14ac:dyDescent="0.25">
      <c r="B568" s="138" t="str">
        <f>IF(AND(Formeln!$I$11=2,B567&lt;$E$4/Formeln!$M$20),B567+1,IF(AND(Formeln!$I$11=1,B567&lt;$E$4*Formeln!$M$20),B567+1,"xxx"))</f>
        <v>xxx</v>
      </c>
      <c r="C568" s="139" t="str">
        <f t="shared" si="16"/>
        <v>xxx</v>
      </c>
      <c r="D568" s="139" t="str">
        <f t="shared" si="17"/>
        <v>xxx</v>
      </c>
      <c r="E568" s="139" t="str">
        <f>IF(D568="xxx","xxx",IF(AND($E$8=1,Eingabe!$C$7="S"),(C568+D568)*$E$3/Formeln!$L$20,IF(AND($E$8=1,Eingabe!$C$7="K"),(C568-D568)*$E$3/Formeln!$L$20,C568*$E$3/Formeln!$L$20)))</f>
        <v>xxx</v>
      </c>
      <c r="F568" s="139">
        <f>IF(Eingabe!$C$7="K",C568-D568+E568,SUM(C568:E568))</f>
        <v>0</v>
      </c>
    </row>
    <row r="569" spans="2:6" x14ac:dyDescent="0.25">
      <c r="B569" s="138" t="str">
        <f>IF(AND(Formeln!$I$11=2,B568&lt;$E$4/Formeln!$M$20),B568+1,IF(AND(Formeln!$I$11=1,B568&lt;$E$4*Formeln!$M$20),B568+1,"xxx"))</f>
        <v>xxx</v>
      </c>
      <c r="C569" s="139" t="str">
        <f t="shared" si="16"/>
        <v>xxx</v>
      </c>
      <c r="D569" s="139" t="str">
        <f t="shared" si="17"/>
        <v>xxx</v>
      </c>
      <c r="E569" s="139" t="str">
        <f>IF(D569="xxx","xxx",IF(AND($E$8=1,Eingabe!$C$7="S"),(C569+D569)*$E$3/Formeln!$L$20,IF(AND($E$8=1,Eingabe!$C$7="K"),(C569-D569)*$E$3/Formeln!$L$20,C569*$E$3/Formeln!$L$20)))</f>
        <v>xxx</v>
      </c>
      <c r="F569" s="139">
        <f>IF(Eingabe!$C$7="K",C569-D569+E569,SUM(C569:E569))</f>
        <v>0</v>
      </c>
    </row>
    <row r="570" spans="2:6" x14ac:dyDescent="0.25">
      <c r="B570" s="138" t="str">
        <f>IF(AND(Formeln!$I$11=2,B569&lt;$E$4/Formeln!$M$20),B569+1,IF(AND(Formeln!$I$11=1,B569&lt;$E$4*Formeln!$M$20),B569+1,"xxx"))</f>
        <v>xxx</v>
      </c>
      <c r="C570" s="139" t="str">
        <f t="shared" si="16"/>
        <v>xxx</v>
      </c>
      <c r="D570" s="139" t="str">
        <f t="shared" si="17"/>
        <v>xxx</v>
      </c>
      <c r="E570" s="139" t="str">
        <f>IF(D570="xxx","xxx",IF(AND($E$8=1,Eingabe!$C$7="S"),(C570+D570)*$E$3/Formeln!$L$20,IF(AND($E$8=1,Eingabe!$C$7="K"),(C570-D570)*$E$3/Formeln!$L$20,C570*$E$3/Formeln!$L$20)))</f>
        <v>xxx</v>
      </c>
      <c r="F570" s="139">
        <f>IF(Eingabe!$C$7="K",C570-D570+E570,SUM(C570:E570))</f>
        <v>0</v>
      </c>
    </row>
    <row r="571" spans="2:6" x14ac:dyDescent="0.25">
      <c r="B571" s="138" t="str">
        <f>IF(AND(Formeln!$I$11=2,B570&lt;$E$4/Formeln!$M$20),B570+1,IF(AND(Formeln!$I$11=1,B570&lt;$E$4*Formeln!$M$20),B570+1,"xxx"))</f>
        <v>xxx</v>
      </c>
      <c r="C571" s="139" t="str">
        <f t="shared" si="16"/>
        <v>xxx</v>
      </c>
      <c r="D571" s="139" t="str">
        <f t="shared" si="17"/>
        <v>xxx</v>
      </c>
      <c r="E571" s="139" t="str">
        <f>IF(D571="xxx","xxx",IF(AND($E$8=1,Eingabe!$C$7="S"),(C571+D571)*$E$3/Formeln!$L$20,IF(AND($E$8=1,Eingabe!$C$7="K"),(C571-D571)*$E$3/Formeln!$L$20,C571*$E$3/Formeln!$L$20)))</f>
        <v>xxx</v>
      </c>
      <c r="F571" s="139">
        <f>IF(Eingabe!$C$7="K",C571-D571+E571,SUM(C571:E571))</f>
        <v>0</v>
      </c>
    </row>
    <row r="572" spans="2:6" x14ac:dyDescent="0.25">
      <c r="B572" s="138" t="str">
        <f>IF(AND(Formeln!$I$11=2,B571&lt;$E$4/Formeln!$M$20),B571+1,IF(AND(Formeln!$I$11=1,B571&lt;$E$4*Formeln!$M$20),B571+1,"xxx"))</f>
        <v>xxx</v>
      </c>
      <c r="C572" s="139" t="str">
        <f t="shared" si="16"/>
        <v>xxx</v>
      </c>
      <c r="D572" s="139" t="str">
        <f t="shared" si="17"/>
        <v>xxx</v>
      </c>
      <c r="E572" s="139" t="str">
        <f>IF(D572="xxx","xxx",IF(AND($E$8=1,Eingabe!$C$7="S"),(C572+D572)*$E$3/Formeln!$L$20,IF(AND($E$8=1,Eingabe!$C$7="K"),(C572-D572)*$E$3/Formeln!$L$20,C572*$E$3/Formeln!$L$20)))</f>
        <v>xxx</v>
      </c>
      <c r="F572" s="139">
        <f>IF(Eingabe!$C$7="K",C572-D572+E572,SUM(C572:E572))</f>
        <v>0</v>
      </c>
    </row>
    <row r="573" spans="2:6" x14ac:dyDescent="0.25">
      <c r="B573" s="138" t="str">
        <f>IF(AND(Formeln!$I$11=2,B572&lt;$E$4/Formeln!$M$20),B572+1,IF(AND(Formeln!$I$11=1,B572&lt;$E$4*Formeln!$M$20),B572+1,"xxx"))</f>
        <v>xxx</v>
      </c>
      <c r="C573" s="139" t="str">
        <f t="shared" si="16"/>
        <v>xxx</v>
      </c>
      <c r="D573" s="139" t="str">
        <f t="shared" si="17"/>
        <v>xxx</v>
      </c>
      <c r="E573" s="139" t="str">
        <f>IF(D573="xxx","xxx",IF(AND($E$8=1,Eingabe!$C$7="S"),(C573+D573)*$E$3/Formeln!$L$20,IF(AND($E$8=1,Eingabe!$C$7="K"),(C573-D573)*$E$3/Formeln!$L$20,C573*$E$3/Formeln!$L$20)))</f>
        <v>xxx</v>
      </c>
      <c r="F573" s="139">
        <f>IF(Eingabe!$C$7="K",C573-D573+E573,SUM(C573:E573))</f>
        <v>0</v>
      </c>
    </row>
    <row r="574" spans="2:6" x14ac:dyDescent="0.25">
      <c r="B574" s="138" t="str">
        <f>IF(AND(Formeln!$I$11=2,B573&lt;$E$4/Formeln!$M$20),B573+1,IF(AND(Formeln!$I$11=1,B573&lt;$E$4*Formeln!$M$20),B573+1,"xxx"))</f>
        <v>xxx</v>
      </c>
      <c r="C574" s="139" t="str">
        <f t="shared" si="16"/>
        <v>xxx</v>
      </c>
      <c r="D574" s="139" t="str">
        <f t="shared" si="17"/>
        <v>xxx</v>
      </c>
      <c r="E574" s="139" t="str">
        <f>IF(D574="xxx","xxx",IF(AND($E$8=1,Eingabe!$C$7="S"),(C574+D574)*$E$3/Formeln!$L$20,IF(AND($E$8=1,Eingabe!$C$7="K"),(C574-D574)*$E$3/Formeln!$L$20,C574*$E$3/Formeln!$L$20)))</f>
        <v>xxx</v>
      </c>
      <c r="F574" s="139">
        <f>IF(Eingabe!$C$7="K",C574-D574+E574,SUM(C574:E574))</f>
        <v>0</v>
      </c>
    </row>
    <row r="575" spans="2:6" x14ac:dyDescent="0.25">
      <c r="B575" s="138" t="str">
        <f>IF(AND(Formeln!$I$11=2,B574&lt;$E$4/Formeln!$M$20),B574+1,IF(AND(Formeln!$I$11=1,B574&lt;$E$4*Formeln!$M$20),B574+1,"xxx"))</f>
        <v>xxx</v>
      </c>
      <c r="C575" s="139" t="str">
        <f t="shared" si="16"/>
        <v>xxx</v>
      </c>
      <c r="D575" s="139" t="str">
        <f t="shared" si="17"/>
        <v>xxx</v>
      </c>
      <c r="E575" s="139" t="str">
        <f>IF(D575="xxx","xxx",IF(AND($E$8=1,Eingabe!$C$7="S"),(C575+D575)*$E$3/Formeln!$L$20,IF(AND($E$8=1,Eingabe!$C$7="K"),(C575-D575)*$E$3/Formeln!$L$20,C575*$E$3/Formeln!$L$20)))</f>
        <v>xxx</v>
      </c>
      <c r="F575" s="139">
        <f>IF(Eingabe!$C$7="K",C575-D575+E575,SUM(C575:E575))</f>
        <v>0</v>
      </c>
    </row>
    <row r="576" spans="2:6" x14ac:dyDescent="0.25">
      <c r="B576" s="138" t="str">
        <f>IF(AND(Formeln!$I$11=2,B575&lt;$E$4/Formeln!$M$20),B575+1,IF(AND(Formeln!$I$11=1,B575&lt;$E$4*Formeln!$M$20),B575+1,"xxx"))</f>
        <v>xxx</v>
      </c>
      <c r="C576" s="139" t="str">
        <f t="shared" si="16"/>
        <v>xxx</v>
      </c>
      <c r="D576" s="139" t="str">
        <f t="shared" si="17"/>
        <v>xxx</v>
      </c>
      <c r="E576" s="139" t="str">
        <f>IF(D576="xxx","xxx",IF(AND($E$8=1,Eingabe!$C$7="S"),(C576+D576)*$E$3/Formeln!$L$20,IF(AND($E$8=1,Eingabe!$C$7="K"),(C576-D576)*$E$3/Formeln!$L$20,C576*$E$3/Formeln!$L$20)))</f>
        <v>xxx</v>
      </c>
      <c r="F576" s="139">
        <f>IF(Eingabe!$C$7="K",C576-D576+E576,SUM(C576:E576))</f>
        <v>0</v>
      </c>
    </row>
    <row r="577" spans="2:6" x14ac:dyDescent="0.25">
      <c r="B577" s="138" t="str">
        <f>IF(AND(Formeln!$I$11=2,B576&lt;$E$4/Formeln!$M$20),B576+1,IF(AND(Formeln!$I$11=1,B576&lt;$E$4*Formeln!$M$20),B576+1,"xxx"))</f>
        <v>xxx</v>
      </c>
      <c r="C577" s="139" t="str">
        <f t="shared" si="16"/>
        <v>xxx</v>
      </c>
      <c r="D577" s="139" t="str">
        <f t="shared" si="17"/>
        <v>xxx</v>
      </c>
      <c r="E577" s="139" t="str">
        <f>IF(D577="xxx","xxx",IF(AND($E$8=1,Eingabe!$C$7="S"),(C577+D577)*$E$3/Formeln!$L$20,IF(AND($E$8=1,Eingabe!$C$7="K"),(C577-D577)*$E$3/Formeln!$L$20,C577*$E$3/Formeln!$L$20)))</f>
        <v>xxx</v>
      </c>
      <c r="F577" s="139">
        <f>IF(Eingabe!$C$7="K",C577-D577+E577,SUM(C577:E577))</f>
        <v>0</v>
      </c>
    </row>
    <row r="578" spans="2:6" x14ac:dyDescent="0.25">
      <c r="B578" s="138" t="str">
        <f>IF(AND(Formeln!$I$11=2,B577&lt;$E$4/Formeln!$M$20),B577+1,IF(AND(Formeln!$I$11=1,B577&lt;$E$4*Formeln!$M$20),B577+1,"xxx"))</f>
        <v>xxx</v>
      </c>
      <c r="C578" s="139" t="str">
        <f t="shared" si="16"/>
        <v>xxx</v>
      </c>
      <c r="D578" s="139" t="str">
        <f t="shared" si="17"/>
        <v>xxx</v>
      </c>
      <c r="E578" s="139" t="str">
        <f>IF(D578="xxx","xxx",IF(AND($E$8=1,Eingabe!$C$7="S"),(C578+D578)*$E$3/Formeln!$L$20,IF(AND($E$8=1,Eingabe!$C$7="K"),(C578-D578)*$E$3/Formeln!$L$20,C578*$E$3/Formeln!$L$20)))</f>
        <v>xxx</v>
      </c>
      <c r="F578" s="139">
        <f>IF(Eingabe!$C$7="K",C578-D578+E578,SUM(C578:E578))</f>
        <v>0</v>
      </c>
    </row>
    <row r="579" spans="2:6" x14ac:dyDescent="0.25">
      <c r="B579" s="138" t="str">
        <f>IF(AND(Formeln!$I$11=2,B578&lt;$E$4/Formeln!$M$20),B578+1,IF(AND(Formeln!$I$11=1,B578&lt;$E$4*Formeln!$M$20),B578+1,"xxx"))</f>
        <v>xxx</v>
      </c>
      <c r="C579" s="139" t="str">
        <f t="shared" si="16"/>
        <v>xxx</v>
      </c>
      <c r="D579" s="139" t="str">
        <f t="shared" si="17"/>
        <v>xxx</v>
      </c>
      <c r="E579" s="139" t="str">
        <f>IF(D579="xxx","xxx",IF(AND($E$8=1,Eingabe!$C$7="S"),(C579+D579)*$E$3/Formeln!$L$20,IF(AND($E$8=1,Eingabe!$C$7="K"),(C579-D579)*$E$3/Formeln!$L$20,C579*$E$3/Formeln!$L$20)))</f>
        <v>xxx</v>
      </c>
      <c r="F579" s="139">
        <f>IF(Eingabe!$C$7="K",C579-D579+E579,SUM(C579:E579))</f>
        <v>0</v>
      </c>
    </row>
    <row r="580" spans="2:6" x14ac:dyDescent="0.25">
      <c r="B580" s="138" t="str">
        <f>IF(AND(Formeln!$I$11=2,B579&lt;$E$4/Formeln!$M$20),B579+1,IF(AND(Formeln!$I$11=1,B579&lt;$E$4*Formeln!$M$20),B579+1,"xxx"))</f>
        <v>xxx</v>
      </c>
      <c r="C580" s="139" t="str">
        <f t="shared" si="16"/>
        <v>xxx</v>
      </c>
      <c r="D580" s="139" t="str">
        <f t="shared" si="17"/>
        <v>xxx</v>
      </c>
      <c r="E580" s="139" t="str">
        <f>IF(D580="xxx","xxx",IF(AND($E$8=1,Eingabe!$C$7="S"),(C580+D580)*$E$3/Formeln!$L$20,IF(AND($E$8=1,Eingabe!$C$7="K"),(C580-D580)*$E$3/Formeln!$L$20,C580*$E$3/Formeln!$L$20)))</f>
        <v>xxx</v>
      </c>
      <c r="F580" s="139">
        <f>IF(Eingabe!$C$7="K",C580-D580+E580,SUM(C580:E580))</f>
        <v>0</v>
      </c>
    </row>
    <row r="581" spans="2:6" x14ac:dyDescent="0.25">
      <c r="B581" s="138" t="str">
        <f>IF(AND(Formeln!$I$11=2,B580&lt;$E$4/Formeln!$M$20),B580+1,IF(AND(Formeln!$I$11=1,B580&lt;$E$4*Formeln!$M$20),B580+1,"xxx"))</f>
        <v>xxx</v>
      </c>
      <c r="C581" s="139" t="str">
        <f t="shared" si="16"/>
        <v>xxx</v>
      </c>
      <c r="D581" s="139" t="str">
        <f t="shared" si="17"/>
        <v>xxx</v>
      </c>
      <c r="E581" s="139" t="str">
        <f>IF(D581="xxx","xxx",IF(AND($E$8=1,Eingabe!$C$7="S"),(C581+D581)*$E$3/Formeln!$L$20,IF(AND($E$8=1,Eingabe!$C$7="K"),(C581-D581)*$E$3/Formeln!$L$20,C581*$E$3/Formeln!$L$20)))</f>
        <v>xxx</v>
      </c>
      <c r="F581" s="139">
        <f>IF(Eingabe!$C$7="K",C581-D581+E581,SUM(C581:E581))</f>
        <v>0</v>
      </c>
    </row>
    <row r="582" spans="2:6" x14ac:dyDescent="0.25">
      <c r="B582" s="138" t="str">
        <f>IF(AND(Formeln!$I$11=2,B581&lt;$E$4/Formeln!$M$20),B581+1,IF(AND(Formeln!$I$11=1,B581&lt;$E$4*Formeln!$M$20),B581+1,"xxx"))</f>
        <v>xxx</v>
      </c>
      <c r="C582" s="139" t="str">
        <f t="shared" si="16"/>
        <v>xxx</v>
      </c>
      <c r="D582" s="139" t="str">
        <f t="shared" si="17"/>
        <v>xxx</v>
      </c>
      <c r="E582" s="139" t="str">
        <f>IF(D582="xxx","xxx",IF(AND($E$8=1,Eingabe!$C$7="S"),(C582+D582)*$E$3/Formeln!$L$20,IF(AND($E$8=1,Eingabe!$C$7="K"),(C582-D582)*$E$3/Formeln!$L$20,C582*$E$3/Formeln!$L$20)))</f>
        <v>xxx</v>
      </c>
      <c r="F582" s="139">
        <f>IF(Eingabe!$C$7="K",C582-D582+E582,SUM(C582:E582))</f>
        <v>0</v>
      </c>
    </row>
    <row r="583" spans="2:6" x14ac:dyDescent="0.25">
      <c r="B583" s="138" t="str">
        <f>IF(AND(Formeln!$I$11=2,B582&lt;$E$4/Formeln!$M$20),B582+1,IF(AND(Formeln!$I$11=1,B582&lt;$E$4*Formeln!$M$20),B582+1,"xxx"))</f>
        <v>xxx</v>
      </c>
      <c r="C583" s="139" t="str">
        <f t="shared" si="16"/>
        <v>xxx</v>
      </c>
      <c r="D583" s="139" t="str">
        <f t="shared" si="17"/>
        <v>xxx</v>
      </c>
      <c r="E583" s="139" t="str">
        <f>IF(D583="xxx","xxx",IF(AND($E$8=1,Eingabe!$C$7="S"),(C583+D583)*$E$3/Formeln!$L$20,IF(AND($E$8=1,Eingabe!$C$7="K"),(C583-D583)*$E$3/Formeln!$L$20,C583*$E$3/Formeln!$L$20)))</f>
        <v>xxx</v>
      </c>
      <c r="F583" s="139">
        <f>IF(Eingabe!$C$7="K",C583-D583+E583,SUM(C583:E583))</f>
        <v>0</v>
      </c>
    </row>
    <row r="584" spans="2:6" x14ac:dyDescent="0.25">
      <c r="B584" s="138" t="str">
        <f>IF(AND(Formeln!$I$11=2,B583&lt;$E$4/Formeln!$M$20),B583+1,IF(AND(Formeln!$I$11=1,B583&lt;$E$4*Formeln!$M$20),B583+1,"xxx"))</f>
        <v>xxx</v>
      </c>
      <c r="C584" s="139" t="str">
        <f t="shared" si="16"/>
        <v>xxx</v>
      </c>
      <c r="D584" s="139" t="str">
        <f t="shared" si="17"/>
        <v>xxx</v>
      </c>
      <c r="E584" s="139" t="str">
        <f>IF(D584="xxx","xxx",IF(AND($E$8=1,Eingabe!$C$7="S"),(C584+D584)*$E$3/Formeln!$L$20,IF(AND($E$8=1,Eingabe!$C$7="K"),(C584-D584)*$E$3/Formeln!$L$20,C584*$E$3/Formeln!$L$20)))</f>
        <v>xxx</v>
      </c>
      <c r="F584" s="139">
        <f>IF(Eingabe!$C$7="K",C584-D584+E584,SUM(C584:E584))</f>
        <v>0</v>
      </c>
    </row>
    <row r="585" spans="2:6" x14ac:dyDescent="0.25">
      <c r="B585" s="138" t="str">
        <f>IF(AND(Formeln!$I$11=2,B584&lt;$E$4/Formeln!$M$20),B584+1,IF(AND(Formeln!$I$11=1,B584&lt;$E$4*Formeln!$M$20),B584+1,"xxx"))</f>
        <v>xxx</v>
      </c>
      <c r="C585" s="139" t="str">
        <f t="shared" si="16"/>
        <v>xxx</v>
      </c>
      <c r="D585" s="139" t="str">
        <f t="shared" si="17"/>
        <v>xxx</v>
      </c>
      <c r="E585" s="139" t="str">
        <f>IF(D585="xxx","xxx",IF(AND($E$8=1,Eingabe!$C$7="S"),(C585+D585)*$E$3/Formeln!$L$20,IF(AND($E$8=1,Eingabe!$C$7="K"),(C585-D585)*$E$3/Formeln!$L$20,C585*$E$3/Formeln!$L$20)))</f>
        <v>xxx</v>
      </c>
      <c r="F585" s="139">
        <f>IF(Eingabe!$C$7="K",C585-D585+E585,SUM(C585:E585))</f>
        <v>0</v>
      </c>
    </row>
    <row r="586" spans="2:6" x14ac:dyDescent="0.25">
      <c r="B586" s="138" t="str">
        <f>IF(AND(Formeln!$I$11=2,B585&lt;$E$4/Formeln!$M$20),B585+1,IF(AND(Formeln!$I$11=1,B585&lt;$E$4*Formeln!$M$20),B585+1,"xxx"))</f>
        <v>xxx</v>
      </c>
      <c r="C586" s="139" t="str">
        <f t="shared" si="16"/>
        <v>xxx</v>
      </c>
      <c r="D586" s="139" t="str">
        <f t="shared" si="17"/>
        <v>xxx</v>
      </c>
      <c r="E586" s="139" t="str">
        <f>IF(D586="xxx","xxx",IF(AND($E$8=1,Eingabe!$C$7="S"),(C586+D586)*$E$3/Formeln!$L$20,IF(AND($E$8=1,Eingabe!$C$7="K"),(C586-D586)*$E$3/Formeln!$L$20,C586*$E$3/Formeln!$L$20)))</f>
        <v>xxx</v>
      </c>
      <c r="F586" s="139">
        <f>IF(Eingabe!$C$7="K",C586-D586+E586,SUM(C586:E586))</f>
        <v>0</v>
      </c>
    </row>
    <row r="587" spans="2:6" x14ac:dyDescent="0.25">
      <c r="B587" s="138" t="str">
        <f>IF(AND(Formeln!$I$11=2,B586&lt;$E$4/Formeln!$M$20),B586+1,IF(AND(Formeln!$I$11=1,B586&lt;$E$4*Formeln!$M$20),B586+1,"xxx"))</f>
        <v>xxx</v>
      </c>
      <c r="C587" s="139" t="str">
        <f t="shared" si="16"/>
        <v>xxx</v>
      </c>
      <c r="D587" s="139" t="str">
        <f t="shared" si="17"/>
        <v>xxx</v>
      </c>
      <c r="E587" s="139" t="str">
        <f>IF(D587="xxx","xxx",IF(AND($E$8=1,Eingabe!$C$7="S"),(C587+D587)*$E$3/Formeln!$L$20,IF(AND($E$8=1,Eingabe!$C$7="K"),(C587-D587)*$E$3/Formeln!$L$20,C587*$E$3/Formeln!$L$20)))</f>
        <v>xxx</v>
      </c>
      <c r="F587" s="139">
        <f>IF(Eingabe!$C$7="K",C587-D587+E587,SUM(C587:E587))</f>
        <v>0</v>
      </c>
    </row>
    <row r="588" spans="2:6" x14ac:dyDescent="0.25">
      <c r="B588" s="138" t="str">
        <f>IF(AND(Formeln!$I$11=2,B587&lt;$E$4/Formeln!$M$20),B587+1,IF(AND(Formeln!$I$11=1,B587&lt;$E$4*Formeln!$M$20),B587+1,"xxx"))</f>
        <v>xxx</v>
      </c>
      <c r="C588" s="139" t="str">
        <f t="shared" si="16"/>
        <v>xxx</v>
      </c>
      <c r="D588" s="139" t="str">
        <f t="shared" si="17"/>
        <v>xxx</v>
      </c>
      <c r="E588" s="139" t="str">
        <f>IF(D588="xxx","xxx",IF(AND($E$8=1,Eingabe!$C$7="S"),(C588+D588)*$E$3/Formeln!$L$20,IF(AND($E$8=1,Eingabe!$C$7="K"),(C588-D588)*$E$3/Formeln!$L$20,C588*$E$3/Formeln!$L$20)))</f>
        <v>xxx</v>
      </c>
      <c r="F588" s="139">
        <f>IF(Eingabe!$C$7="K",C588-D588+E588,SUM(C588:E588))</f>
        <v>0</v>
      </c>
    </row>
    <row r="589" spans="2:6" x14ac:dyDescent="0.25">
      <c r="B589" s="138" t="str">
        <f>IF(AND(Formeln!$I$11=2,B588&lt;$E$4/Formeln!$M$20),B588+1,IF(AND(Formeln!$I$11=1,B588&lt;$E$4*Formeln!$M$20),B588+1,"xxx"))</f>
        <v>xxx</v>
      </c>
      <c r="C589" s="139" t="str">
        <f t="shared" ref="C589:C610" si="18">IF(B589="xxx","xxx",F588)</f>
        <v>xxx</v>
      </c>
      <c r="D589" s="139" t="str">
        <f t="shared" ref="D589:D610" si="19">IF(C589="xxx","xxx",D588)</f>
        <v>xxx</v>
      </c>
      <c r="E589" s="139" t="str">
        <f>IF(D589="xxx","xxx",IF(AND($E$8=1,Eingabe!$C$7="S"),(C589+D589)*$E$3/Formeln!$L$20,IF(AND($E$8=1,Eingabe!$C$7="K"),(C589-D589)*$E$3/Formeln!$L$20,C589*$E$3/Formeln!$L$20)))</f>
        <v>xxx</v>
      </c>
      <c r="F589" s="139">
        <f>IF(Eingabe!$C$7="K",C589-D589+E589,SUM(C589:E589))</f>
        <v>0</v>
      </c>
    </row>
    <row r="590" spans="2:6" x14ac:dyDescent="0.25">
      <c r="B590" s="138" t="str">
        <f>IF(AND(Formeln!$I$11=2,B589&lt;$E$4/Formeln!$M$20),B589+1,IF(AND(Formeln!$I$11=1,B589&lt;$E$4*Formeln!$M$20),B589+1,"xxx"))</f>
        <v>xxx</v>
      </c>
      <c r="C590" s="139" t="str">
        <f t="shared" si="18"/>
        <v>xxx</v>
      </c>
      <c r="D590" s="139" t="str">
        <f t="shared" si="19"/>
        <v>xxx</v>
      </c>
      <c r="E590" s="139" t="str">
        <f>IF(D590="xxx","xxx",IF(AND($E$8=1,Eingabe!$C$7="S"),(C590+D590)*$E$3/Formeln!$L$20,IF(AND($E$8=1,Eingabe!$C$7="K"),(C590-D590)*$E$3/Formeln!$L$20,C590*$E$3/Formeln!$L$20)))</f>
        <v>xxx</v>
      </c>
      <c r="F590" s="139">
        <f>IF(Eingabe!$C$7="K",C590-D590+E590,SUM(C590:E590))</f>
        <v>0</v>
      </c>
    </row>
    <row r="591" spans="2:6" x14ac:dyDescent="0.25">
      <c r="B591" s="138" t="str">
        <f>IF(AND(Formeln!$I$11=2,B590&lt;$E$4/Formeln!$M$20),B590+1,IF(AND(Formeln!$I$11=1,B590&lt;$E$4*Formeln!$M$20),B590+1,"xxx"))</f>
        <v>xxx</v>
      </c>
      <c r="C591" s="139" t="str">
        <f t="shared" si="18"/>
        <v>xxx</v>
      </c>
      <c r="D591" s="139" t="str">
        <f t="shared" si="19"/>
        <v>xxx</v>
      </c>
      <c r="E591" s="139" t="str">
        <f>IF(D591="xxx","xxx",IF(AND($E$8=1,Eingabe!$C$7="S"),(C591+D591)*$E$3/Formeln!$L$20,IF(AND($E$8=1,Eingabe!$C$7="K"),(C591-D591)*$E$3/Formeln!$L$20,C591*$E$3/Formeln!$L$20)))</f>
        <v>xxx</v>
      </c>
      <c r="F591" s="139">
        <f>IF(Eingabe!$C$7="K",C591-D591+E591,SUM(C591:E591))</f>
        <v>0</v>
      </c>
    </row>
    <row r="592" spans="2:6" x14ac:dyDescent="0.25">
      <c r="B592" s="138" t="str">
        <f>IF(AND(Formeln!$I$11=2,B591&lt;$E$4/Formeln!$M$20),B591+1,IF(AND(Formeln!$I$11=1,B591&lt;$E$4*Formeln!$M$20),B591+1,"xxx"))</f>
        <v>xxx</v>
      </c>
      <c r="C592" s="139" t="str">
        <f t="shared" si="18"/>
        <v>xxx</v>
      </c>
      <c r="D592" s="139" t="str">
        <f t="shared" si="19"/>
        <v>xxx</v>
      </c>
      <c r="E592" s="139" t="str">
        <f>IF(D592="xxx","xxx",IF(AND($E$8=1,Eingabe!$C$7="S"),(C592+D592)*$E$3/Formeln!$L$20,IF(AND($E$8=1,Eingabe!$C$7="K"),(C592-D592)*$E$3/Formeln!$L$20,C592*$E$3/Formeln!$L$20)))</f>
        <v>xxx</v>
      </c>
      <c r="F592" s="139">
        <f>IF(Eingabe!$C$7="K",C592-D592+E592,SUM(C592:E592))</f>
        <v>0</v>
      </c>
    </row>
    <row r="593" spans="2:6" x14ac:dyDescent="0.25">
      <c r="B593" s="138" t="str">
        <f>IF(AND(Formeln!$I$11=2,B592&lt;$E$4/Formeln!$M$20),B592+1,IF(AND(Formeln!$I$11=1,B592&lt;$E$4*Formeln!$M$20),B592+1,"xxx"))</f>
        <v>xxx</v>
      </c>
      <c r="C593" s="139" t="str">
        <f t="shared" si="18"/>
        <v>xxx</v>
      </c>
      <c r="D593" s="139" t="str">
        <f t="shared" si="19"/>
        <v>xxx</v>
      </c>
      <c r="E593" s="139" t="str">
        <f>IF(D593="xxx","xxx",IF(AND($E$8=1,Eingabe!$C$7="S"),(C593+D593)*$E$3/Formeln!$L$20,IF(AND($E$8=1,Eingabe!$C$7="K"),(C593-D593)*$E$3/Formeln!$L$20,C593*$E$3/Formeln!$L$20)))</f>
        <v>xxx</v>
      </c>
      <c r="F593" s="139">
        <f>IF(Eingabe!$C$7="K",C593-D593+E593,SUM(C593:E593))</f>
        <v>0</v>
      </c>
    </row>
    <row r="594" spans="2:6" x14ac:dyDescent="0.25">
      <c r="B594" s="138" t="str">
        <f>IF(AND(Formeln!$I$11=2,B593&lt;$E$4/Formeln!$M$20),B593+1,IF(AND(Formeln!$I$11=1,B593&lt;$E$4*Formeln!$M$20),B593+1,"xxx"))</f>
        <v>xxx</v>
      </c>
      <c r="C594" s="139" t="str">
        <f t="shared" si="18"/>
        <v>xxx</v>
      </c>
      <c r="D594" s="139" t="str">
        <f t="shared" si="19"/>
        <v>xxx</v>
      </c>
      <c r="E594" s="139" t="str">
        <f>IF(D594="xxx","xxx",IF(AND($E$8=1,Eingabe!$C$7="S"),(C594+D594)*$E$3/Formeln!$L$20,IF(AND($E$8=1,Eingabe!$C$7="K"),(C594-D594)*$E$3/Formeln!$L$20,C594*$E$3/Formeln!$L$20)))</f>
        <v>xxx</v>
      </c>
      <c r="F594" s="139">
        <f>IF(Eingabe!$C$7="K",C594-D594+E594,SUM(C594:E594))</f>
        <v>0</v>
      </c>
    </row>
    <row r="595" spans="2:6" x14ac:dyDescent="0.25">
      <c r="B595" s="138" t="str">
        <f>IF(AND(Formeln!$I$11=2,B594&lt;$E$4/Formeln!$M$20),B594+1,IF(AND(Formeln!$I$11=1,B594&lt;$E$4*Formeln!$M$20),B594+1,"xxx"))</f>
        <v>xxx</v>
      </c>
      <c r="C595" s="139" t="str">
        <f t="shared" si="18"/>
        <v>xxx</v>
      </c>
      <c r="D595" s="139" t="str">
        <f t="shared" si="19"/>
        <v>xxx</v>
      </c>
      <c r="E595" s="139" t="str">
        <f>IF(D595="xxx","xxx",IF(AND($E$8=1,Eingabe!$C$7="S"),(C595+D595)*$E$3/Formeln!$L$20,IF(AND($E$8=1,Eingabe!$C$7="K"),(C595-D595)*$E$3/Formeln!$L$20,C595*$E$3/Formeln!$L$20)))</f>
        <v>xxx</v>
      </c>
      <c r="F595" s="139">
        <f>IF(Eingabe!$C$7="K",C595-D595+E595,SUM(C595:E595))</f>
        <v>0</v>
      </c>
    </row>
    <row r="596" spans="2:6" x14ac:dyDescent="0.25">
      <c r="B596" s="138" t="str">
        <f>IF(AND(Formeln!$I$11=2,B595&lt;$E$4/Formeln!$M$20),B595+1,IF(AND(Formeln!$I$11=1,B595&lt;$E$4*Formeln!$M$20),B595+1,"xxx"))</f>
        <v>xxx</v>
      </c>
      <c r="C596" s="139" t="str">
        <f t="shared" si="18"/>
        <v>xxx</v>
      </c>
      <c r="D596" s="139" t="str">
        <f t="shared" si="19"/>
        <v>xxx</v>
      </c>
      <c r="E596" s="139" t="str">
        <f>IF(D596="xxx","xxx",IF(AND($E$8=1,Eingabe!$C$7="S"),(C596+D596)*$E$3/Formeln!$L$20,IF(AND($E$8=1,Eingabe!$C$7="K"),(C596-D596)*$E$3/Formeln!$L$20,C596*$E$3/Formeln!$L$20)))</f>
        <v>xxx</v>
      </c>
      <c r="F596" s="139">
        <f>IF(Eingabe!$C$7="K",C596-D596+E596,SUM(C596:E596))</f>
        <v>0</v>
      </c>
    </row>
    <row r="597" spans="2:6" x14ac:dyDescent="0.25">
      <c r="B597" s="138" t="str">
        <f>IF(AND(Formeln!$I$11=2,B596&lt;$E$4/Formeln!$M$20),B596+1,IF(AND(Formeln!$I$11=1,B596&lt;$E$4*Formeln!$M$20),B596+1,"xxx"))</f>
        <v>xxx</v>
      </c>
      <c r="C597" s="139" t="str">
        <f t="shared" si="18"/>
        <v>xxx</v>
      </c>
      <c r="D597" s="139" t="str">
        <f t="shared" si="19"/>
        <v>xxx</v>
      </c>
      <c r="E597" s="139" t="str">
        <f>IF(D597="xxx","xxx",IF(AND($E$8=1,Eingabe!$C$7="S"),(C597+D597)*$E$3/Formeln!$L$20,IF(AND($E$8=1,Eingabe!$C$7="K"),(C597-D597)*$E$3/Formeln!$L$20,C597*$E$3/Formeln!$L$20)))</f>
        <v>xxx</v>
      </c>
      <c r="F597" s="139">
        <f>IF(Eingabe!$C$7="K",C597-D597+E597,SUM(C597:E597))</f>
        <v>0</v>
      </c>
    </row>
    <row r="598" spans="2:6" x14ac:dyDescent="0.25">
      <c r="B598" s="138" t="str">
        <f>IF(AND(Formeln!$I$11=2,B597&lt;$E$4/Formeln!$M$20),B597+1,IF(AND(Formeln!$I$11=1,B597&lt;$E$4*Formeln!$M$20),B597+1,"xxx"))</f>
        <v>xxx</v>
      </c>
      <c r="C598" s="139" t="str">
        <f t="shared" si="18"/>
        <v>xxx</v>
      </c>
      <c r="D598" s="139" t="str">
        <f t="shared" si="19"/>
        <v>xxx</v>
      </c>
      <c r="E598" s="139" t="str">
        <f>IF(D598="xxx","xxx",IF(AND($E$8=1,Eingabe!$C$7="S"),(C598+D598)*$E$3/Formeln!$L$20,IF(AND($E$8=1,Eingabe!$C$7="K"),(C598-D598)*$E$3/Formeln!$L$20,C598*$E$3/Formeln!$L$20)))</f>
        <v>xxx</v>
      </c>
      <c r="F598" s="139">
        <f>IF(Eingabe!$C$7="K",C598-D598+E598,SUM(C598:E598))</f>
        <v>0</v>
      </c>
    </row>
    <row r="599" spans="2:6" x14ac:dyDescent="0.25">
      <c r="B599" s="138" t="str">
        <f>IF(AND(Formeln!$I$11=2,B598&lt;$E$4/Formeln!$M$20),B598+1,IF(AND(Formeln!$I$11=1,B598&lt;$E$4*Formeln!$M$20),B598+1,"xxx"))</f>
        <v>xxx</v>
      </c>
      <c r="C599" s="139" t="str">
        <f t="shared" si="18"/>
        <v>xxx</v>
      </c>
      <c r="D599" s="139" t="str">
        <f t="shared" si="19"/>
        <v>xxx</v>
      </c>
      <c r="E599" s="139" t="str">
        <f>IF(D599="xxx","xxx",IF(AND($E$8=1,Eingabe!$C$7="S"),(C599+D599)*$E$3/Formeln!$L$20,IF(AND($E$8=1,Eingabe!$C$7="K"),(C599-D599)*$E$3/Formeln!$L$20,C599*$E$3/Formeln!$L$20)))</f>
        <v>xxx</v>
      </c>
      <c r="F599" s="139">
        <f>IF(Eingabe!$C$7="K",C599-D599+E599,SUM(C599:E599))</f>
        <v>0</v>
      </c>
    </row>
    <row r="600" spans="2:6" x14ac:dyDescent="0.25">
      <c r="B600" s="138" t="str">
        <f>IF(AND(Formeln!$I$11=2,B599&lt;$E$4/Formeln!$M$20),B599+1,IF(AND(Formeln!$I$11=1,B599&lt;$E$4*Formeln!$M$20),B599+1,"xxx"))</f>
        <v>xxx</v>
      </c>
      <c r="C600" s="139" t="str">
        <f t="shared" si="18"/>
        <v>xxx</v>
      </c>
      <c r="D600" s="139" t="str">
        <f t="shared" si="19"/>
        <v>xxx</v>
      </c>
      <c r="E600" s="139" t="str">
        <f>IF(D600="xxx","xxx",IF(AND($E$8=1,Eingabe!$C$7="S"),(C600+D600)*$E$3/Formeln!$L$20,IF(AND($E$8=1,Eingabe!$C$7="K"),(C600-D600)*$E$3/Formeln!$L$20,C600*$E$3/Formeln!$L$20)))</f>
        <v>xxx</v>
      </c>
      <c r="F600" s="139">
        <f>IF(Eingabe!$C$7="K",C600-D600+E600,SUM(C600:E600))</f>
        <v>0</v>
      </c>
    </row>
    <row r="601" spans="2:6" x14ac:dyDescent="0.25">
      <c r="B601" s="138" t="str">
        <f>IF(AND(Formeln!$I$11=2,B600&lt;$E$4/Formeln!$M$20),B600+1,IF(AND(Formeln!$I$11=1,B600&lt;$E$4*Formeln!$M$20),B600+1,"xxx"))</f>
        <v>xxx</v>
      </c>
      <c r="C601" s="139" t="str">
        <f t="shared" si="18"/>
        <v>xxx</v>
      </c>
      <c r="D601" s="139" t="str">
        <f t="shared" si="19"/>
        <v>xxx</v>
      </c>
      <c r="E601" s="139" t="str">
        <f>IF(D601="xxx","xxx",IF(AND($E$8=1,Eingabe!$C$7="S"),(C601+D601)*$E$3/Formeln!$L$20,IF(AND($E$8=1,Eingabe!$C$7="K"),(C601-D601)*$E$3/Formeln!$L$20,C601*$E$3/Formeln!$L$20)))</f>
        <v>xxx</v>
      </c>
      <c r="F601" s="139">
        <f>IF(Eingabe!$C$7="K",C601-D601+E601,SUM(C601:E601))</f>
        <v>0</v>
      </c>
    </row>
    <row r="602" spans="2:6" x14ac:dyDescent="0.25">
      <c r="B602" s="138" t="str">
        <f>IF(AND(Formeln!$I$11=2,B601&lt;$E$4/Formeln!$M$20),B601+1,IF(AND(Formeln!$I$11=1,B601&lt;$E$4*Formeln!$M$20),B601+1,"xxx"))</f>
        <v>xxx</v>
      </c>
      <c r="C602" s="139" t="str">
        <f t="shared" si="18"/>
        <v>xxx</v>
      </c>
      <c r="D602" s="139" t="str">
        <f t="shared" si="19"/>
        <v>xxx</v>
      </c>
      <c r="E602" s="139" t="str">
        <f>IF(D602="xxx","xxx",IF(AND($E$8=1,Eingabe!$C$7="S"),(C602+D602)*$E$3/Formeln!$L$20,IF(AND($E$8=1,Eingabe!$C$7="K"),(C602-D602)*$E$3/Formeln!$L$20,C602*$E$3/Formeln!$L$20)))</f>
        <v>xxx</v>
      </c>
      <c r="F602" s="139">
        <f>IF(Eingabe!$C$7="K",C602-D602+E602,SUM(C602:E602))</f>
        <v>0</v>
      </c>
    </row>
    <row r="603" spans="2:6" x14ac:dyDescent="0.25">
      <c r="B603" s="138" t="str">
        <f>IF(AND(Formeln!$I$11=2,B602&lt;$E$4/Formeln!$M$20),B602+1,IF(AND(Formeln!$I$11=1,B602&lt;$E$4*Formeln!$M$20),B602+1,"xxx"))</f>
        <v>xxx</v>
      </c>
      <c r="C603" s="139" t="str">
        <f t="shared" si="18"/>
        <v>xxx</v>
      </c>
      <c r="D603" s="139" t="str">
        <f t="shared" si="19"/>
        <v>xxx</v>
      </c>
      <c r="E603" s="139" t="str">
        <f>IF(D603="xxx","xxx",IF(AND($E$8=1,Eingabe!$C$7="S"),(C603+D603)*$E$3/Formeln!$L$20,IF(AND($E$8=1,Eingabe!$C$7="K"),(C603-D603)*$E$3/Formeln!$L$20,C603*$E$3/Formeln!$L$20)))</f>
        <v>xxx</v>
      </c>
      <c r="F603" s="139">
        <f>IF(Eingabe!$C$7="K",C603-D603+E603,SUM(C603:E603))</f>
        <v>0</v>
      </c>
    </row>
    <row r="604" spans="2:6" x14ac:dyDescent="0.25">
      <c r="B604" s="138" t="str">
        <f>IF(AND(Formeln!$I$11=2,B603&lt;$E$4/Formeln!$M$20),B603+1,IF(AND(Formeln!$I$11=1,B603&lt;$E$4*Formeln!$M$20),B603+1,"xxx"))</f>
        <v>xxx</v>
      </c>
      <c r="C604" s="139" t="str">
        <f t="shared" si="18"/>
        <v>xxx</v>
      </c>
      <c r="D604" s="139" t="str">
        <f t="shared" si="19"/>
        <v>xxx</v>
      </c>
      <c r="E604" s="139" t="str">
        <f>IF(D604="xxx","xxx",IF(AND($E$8=1,Eingabe!$C$7="S"),(C604+D604)*$E$3/Formeln!$L$20,IF(AND($E$8=1,Eingabe!$C$7="K"),(C604-D604)*$E$3/Formeln!$L$20,C604*$E$3/Formeln!$L$20)))</f>
        <v>xxx</v>
      </c>
      <c r="F604" s="139">
        <f>IF(Eingabe!$C$7="K",C604-D604+E604,SUM(C604:E604))</f>
        <v>0</v>
      </c>
    </row>
    <row r="605" spans="2:6" x14ac:dyDescent="0.25">
      <c r="B605" s="138" t="str">
        <f>IF(AND(Formeln!$I$11=2,B604&lt;$E$4/Formeln!$M$20),B604+1,IF(AND(Formeln!$I$11=1,B604&lt;$E$4*Formeln!$M$20),B604+1,"xxx"))</f>
        <v>xxx</v>
      </c>
      <c r="C605" s="139" t="str">
        <f t="shared" si="18"/>
        <v>xxx</v>
      </c>
      <c r="D605" s="139" t="str">
        <f t="shared" si="19"/>
        <v>xxx</v>
      </c>
      <c r="E605" s="139" t="str">
        <f>IF(D605="xxx","xxx",IF(AND($E$8=1,Eingabe!$C$7="S"),(C605+D605)*$E$3/Formeln!$L$20,IF(AND($E$8=1,Eingabe!$C$7="K"),(C605-D605)*$E$3/Formeln!$L$20,C605*$E$3/Formeln!$L$20)))</f>
        <v>xxx</v>
      </c>
      <c r="F605" s="139">
        <f>IF(Eingabe!$C$7="K",C605-D605+E605,SUM(C605:E605))</f>
        <v>0</v>
      </c>
    </row>
    <row r="606" spans="2:6" x14ac:dyDescent="0.25">
      <c r="B606" s="138" t="str">
        <f>IF(AND(Formeln!$I$11=2,B605&lt;$E$4/Formeln!$M$20),B605+1,IF(AND(Formeln!$I$11=1,B605&lt;$E$4*Formeln!$M$20),B605+1,"xxx"))</f>
        <v>xxx</v>
      </c>
      <c r="C606" s="139" t="str">
        <f t="shared" si="18"/>
        <v>xxx</v>
      </c>
      <c r="D606" s="139" t="str">
        <f t="shared" si="19"/>
        <v>xxx</v>
      </c>
      <c r="E606" s="139" t="str">
        <f>IF(D606="xxx","xxx",IF(AND($E$8=1,Eingabe!$C$7="S"),(C606+D606)*$E$3/Formeln!$L$20,IF(AND($E$8=1,Eingabe!$C$7="K"),(C606-D606)*$E$3/Formeln!$L$20,C606*$E$3/Formeln!$L$20)))</f>
        <v>xxx</v>
      </c>
      <c r="F606" s="139">
        <f>IF(Eingabe!$C$7="K",C606-D606+E606,SUM(C606:E606))</f>
        <v>0</v>
      </c>
    </row>
    <row r="607" spans="2:6" x14ac:dyDescent="0.25">
      <c r="B607" s="138" t="str">
        <f>IF(AND(Formeln!$I$11=2,B606&lt;$E$4/Formeln!$M$20),B606+1,IF(AND(Formeln!$I$11=1,B606&lt;$E$4*Formeln!$M$20),B606+1,"xxx"))</f>
        <v>xxx</v>
      </c>
      <c r="C607" s="139" t="str">
        <f t="shared" si="18"/>
        <v>xxx</v>
      </c>
      <c r="D607" s="139" t="str">
        <f t="shared" si="19"/>
        <v>xxx</v>
      </c>
      <c r="E607" s="139" t="str">
        <f>IF(D607="xxx","xxx",IF(AND($E$8=1,Eingabe!$C$7="S"),(C607+D607)*$E$3/Formeln!$L$20,IF(AND($E$8=1,Eingabe!$C$7="K"),(C607-D607)*$E$3/Formeln!$L$20,C607*$E$3/Formeln!$L$20)))</f>
        <v>xxx</v>
      </c>
      <c r="F607" s="139">
        <f>IF(Eingabe!$C$7="K",C607-D607+E607,SUM(C607:E607))</f>
        <v>0</v>
      </c>
    </row>
    <row r="608" spans="2:6" x14ac:dyDescent="0.25">
      <c r="B608" s="138" t="str">
        <f>IF(AND(Formeln!$I$11=2,B607&lt;$E$4/Formeln!$M$20),B607+1,IF(AND(Formeln!$I$11=1,B607&lt;$E$4*Formeln!$M$20),B607+1,"xxx"))</f>
        <v>xxx</v>
      </c>
      <c r="C608" s="139" t="str">
        <f t="shared" si="18"/>
        <v>xxx</v>
      </c>
      <c r="D608" s="139" t="str">
        <f t="shared" si="19"/>
        <v>xxx</v>
      </c>
      <c r="E608" s="139" t="str">
        <f>IF(D608="xxx","xxx",IF(AND($E$8=1,Eingabe!$C$7="S"),(C608+D608)*$E$3/Formeln!$L$20,IF(AND($E$8=1,Eingabe!$C$7="K"),(C608-D608)*$E$3/Formeln!$L$20,C608*$E$3/Formeln!$L$20)))</f>
        <v>xxx</v>
      </c>
      <c r="F608" s="139">
        <f>IF(Eingabe!$C$7="K",C608-D608+E608,SUM(C608:E608))</f>
        <v>0</v>
      </c>
    </row>
    <row r="609" spans="2:8" x14ac:dyDescent="0.25">
      <c r="B609" s="138" t="str">
        <f>IF(AND(Formeln!$I$11=2,B608&lt;$E$4/Formeln!$M$20),B608+1,IF(AND(Formeln!$I$11=1,B608&lt;$E$4*Formeln!$M$20),B608+1,"xxx"))</f>
        <v>xxx</v>
      </c>
      <c r="C609" s="139" t="str">
        <f t="shared" si="18"/>
        <v>xxx</v>
      </c>
      <c r="D609" s="139" t="str">
        <f t="shared" si="19"/>
        <v>xxx</v>
      </c>
      <c r="E609" s="139" t="str">
        <f>IF(D609="xxx","xxx",IF(AND($E$8=1,Eingabe!$C$7="S"),(C609+D609)*$E$3/Formeln!$L$20,IF(AND($E$8=1,Eingabe!$C$7="K"),(C609-D609)*$E$3/Formeln!$L$20,C609*$E$3/Formeln!$L$20)))</f>
        <v>xxx</v>
      </c>
      <c r="F609" s="139">
        <f>IF(Eingabe!$C$7="K",C609-D609+E609,SUM(C609:E609))</f>
        <v>0</v>
      </c>
    </row>
    <row r="610" spans="2:8" x14ac:dyDescent="0.25">
      <c r="B610" s="138" t="str">
        <f>IF(AND(Formeln!$I$11=2,B609&lt;$E$4/Formeln!$M$20),B609+1,IF(AND(Formeln!$I$11=1,B609&lt;$E$4*Formeln!$M$20),B609+1,"xxx"))</f>
        <v>xxx</v>
      </c>
      <c r="C610" s="139" t="str">
        <f t="shared" si="18"/>
        <v>xxx</v>
      </c>
      <c r="D610" s="139" t="str">
        <f t="shared" si="19"/>
        <v>xxx</v>
      </c>
      <c r="E610" s="139" t="str">
        <f>IF(D610="xxx","xxx",IF(AND($E$8=1,Eingabe!$C$7="S"),(C610+D610)*$E$3/Formeln!$L$20,IF(AND($E$8=1,Eingabe!$C$7="K"),(C610-D610)*$E$3/Formeln!$L$20,C610*$E$3/Formeln!$L$20)))</f>
        <v>xxx</v>
      </c>
      <c r="F610" s="139">
        <f>IF(Eingabe!$C$7="K",C610-D610+E610,SUM(C610:E610))</f>
        <v>0</v>
      </c>
    </row>
    <row r="611" spans="2:8" x14ac:dyDescent="0.25">
      <c r="B611" s="187"/>
      <c r="C611" s="188" t="s">
        <v>37</v>
      </c>
      <c r="D611" s="188">
        <f>SUM(D11:D610)</f>
        <v>50000</v>
      </c>
      <c r="E611" s="188">
        <f>SUM(E11:E610)</f>
        <v>19178.408945518557</v>
      </c>
      <c r="F611" s="188">
        <f>IF(Eingabe!C7="K",F6+E611-D611,SUM(D611:E611)+F6)</f>
        <v>79178.40894551856</v>
      </c>
      <c r="G611" s="193"/>
      <c r="H611" s="192"/>
    </row>
  </sheetData>
  <sheetProtection sheet="1" selectLockedCells="1" selectUnlockedCells="1"/>
  <conditionalFormatting sqref="B11:F611">
    <cfRule type="cellIs" dxfId="8" priority="9" operator="equal">
      <formula>"XXX"</formula>
    </cfRule>
    <cfRule type="containsErrors" dxfId="7" priority="19">
      <formula>ISERROR(B11)</formula>
    </cfRule>
  </conditionalFormatting>
  <conditionalFormatting sqref="B12:F610">
    <cfRule type="cellIs" dxfId="6" priority="2" operator="equal">
      <formula>0</formula>
    </cfRule>
  </conditionalFormatting>
  <conditionalFormatting sqref="D7">
    <cfRule type="expression" dxfId="5" priority="1">
      <formula>$F$7=0</formula>
    </cfRule>
  </conditionalFormatting>
  <conditionalFormatting sqref="E4">
    <cfRule type="containsErrors" dxfId="4" priority="15">
      <formula>ISERROR(E4)</formula>
    </cfRule>
  </conditionalFormatting>
  <pageMargins left="0.62992125984251968" right="0.62992125984251968" top="0.70866141732283472" bottom="0.70866141732283472" header="0.51181102362204722" footer="0.51181102362204722"/>
  <pageSetup paperSize="9" orientation="portrait" r:id="rId1"/>
  <headerFooter alignWithMargins="0">
    <oddFooter>&amp;L&amp;8© M. Bouvrot 2003&amp;C&amp;8&amp;P&amp;R&amp;8&amp;D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00000000-000E-0000-0100-000002000000}">
            <xm:f>Formeln!$G$73&gt;600</xm:f>
            <x14:dxf>
              <font>
                <color rgb="FFCC3300"/>
              </font>
              <fill>
                <patternFill>
                  <bgColor rgb="FFCC330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B11:F611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tabColor indexed="29"/>
    <pageSetUpPr autoPageBreaks="0"/>
  </sheetPr>
  <dimension ref="A1:M377"/>
  <sheetViews>
    <sheetView showGridLines="0" zoomScaleNormal="100" workbookViewId="0">
      <selection activeCell="D4" sqref="D4"/>
    </sheetView>
  </sheetViews>
  <sheetFormatPr baseColWidth="10" defaultColWidth="9.21875" defaultRowHeight="13.2" x14ac:dyDescent="0.25"/>
  <cols>
    <col min="1" max="1" width="5.21875" style="35" customWidth="1"/>
    <col min="2" max="2" width="9.77734375" style="35" customWidth="1"/>
    <col min="3" max="3" width="17.88671875" style="35" customWidth="1"/>
    <col min="4" max="5" width="16.44140625" style="35" customWidth="1"/>
    <col min="6" max="6" width="16.44140625" style="217" customWidth="1"/>
    <col min="7" max="10" width="16.44140625" style="35" customWidth="1"/>
    <col min="11" max="11" width="6.21875" style="49" customWidth="1"/>
    <col min="12" max="12" width="9.21875" style="36" customWidth="1"/>
    <col min="13" max="13" width="15.21875" style="36" customWidth="1"/>
    <col min="14" max="16384" width="9.21875" style="36"/>
  </cols>
  <sheetData>
    <row r="1" spans="1:13" ht="33" customHeight="1" x14ac:dyDescent="0.25">
      <c r="A1" s="180" t="s">
        <v>129</v>
      </c>
      <c r="B1" s="34"/>
      <c r="C1" s="34"/>
      <c r="D1" s="235" t="str">
        <f>Eingabe!C2</f>
        <v>Peter Muster, Mustergasse 25, 3000 Bern</v>
      </c>
      <c r="E1" s="34"/>
      <c r="F1" s="212"/>
      <c r="G1" s="34"/>
      <c r="H1" s="34"/>
      <c r="I1" s="34"/>
      <c r="J1" s="34"/>
    </row>
    <row r="2" spans="1:13" ht="12.75" customHeight="1" thickBot="1" x14ac:dyDescent="0.3">
      <c r="A2" s="34"/>
      <c r="B2" s="34"/>
      <c r="C2" s="34"/>
      <c r="D2" s="181"/>
      <c r="E2" s="34"/>
      <c r="F2" s="213"/>
      <c r="G2" s="181"/>
      <c r="H2" s="34"/>
      <c r="I2" s="34"/>
      <c r="J2" s="34"/>
    </row>
    <row r="3" spans="1:13" ht="19.5" customHeight="1" x14ac:dyDescent="0.25">
      <c r="A3" s="37"/>
      <c r="B3" s="37"/>
      <c r="C3" s="37"/>
      <c r="D3" s="38" t="s">
        <v>38</v>
      </c>
      <c r="E3" s="37"/>
      <c r="F3" s="218" t="s">
        <v>46</v>
      </c>
      <c r="G3" s="39"/>
      <c r="H3" s="40"/>
      <c r="I3" s="37"/>
      <c r="J3" s="37"/>
      <c r="K3" s="50"/>
    </row>
    <row r="4" spans="1:13" x14ac:dyDescent="0.25">
      <c r="A4" s="41" t="s">
        <v>39</v>
      </c>
      <c r="B4" s="34"/>
      <c r="C4" s="34"/>
      <c r="D4" s="29">
        <v>20000</v>
      </c>
      <c r="E4" s="34"/>
      <c r="F4" s="34"/>
      <c r="K4" s="50"/>
    </row>
    <row r="5" spans="1:13" x14ac:dyDescent="0.25">
      <c r="A5" s="41" t="s">
        <v>40</v>
      </c>
      <c r="B5" s="34"/>
      <c r="C5" s="34"/>
      <c r="D5" s="30">
        <v>0.02</v>
      </c>
      <c r="E5" s="34"/>
      <c r="F5" s="34"/>
      <c r="G5" s="42"/>
      <c r="H5" s="43"/>
      <c r="I5" s="34"/>
      <c r="J5" s="34"/>
      <c r="K5" s="50"/>
    </row>
    <row r="6" spans="1:13" x14ac:dyDescent="0.25">
      <c r="A6" s="41" t="s">
        <v>31</v>
      </c>
      <c r="B6" s="34"/>
      <c r="C6" s="34"/>
      <c r="D6" s="31">
        <v>10</v>
      </c>
      <c r="E6" s="209"/>
      <c r="F6" s="36" t="s">
        <v>109</v>
      </c>
      <c r="G6" s="197"/>
      <c r="H6" s="34"/>
      <c r="I6" s="34"/>
      <c r="J6" s="34"/>
      <c r="K6" s="50"/>
    </row>
    <row r="7" spans="1:13" x14ac:dyDescent="0.25">
      <c r="A7" s="41" t="s">
        <v>41</v>
      </c>
      <c r="B7" s="34"/>
      <c r="C7" s="34"/>
      <c r="D7" s="32">
        <v>44927</v>
      </c>
      <c r="E7" s="34"/>
      <c r="F7" s="212"/>
      <c r="G7" s="44"/>
      <c r="H7" s="34"/>
      <c r="I7" s="34"/>
      <c r="J7" s="34"/>
      <c r="K7" s="50"/>
    </row>
    <row r="8" spans="1:13" ht="13.5" customHeight="1" x14ac:dyDescent="0.25">
      <c r="A8" s="45" t="s">
        <v>110</v>
      </c>
      <c r="B8" s="34"/>
      <c r="C8" s="34"/>
      <c r="D8" s="211">
        <v>0</v>
      </c>
      <c r="E8" s="34"/>
      <c r="F8" s="229" t="s">
        <v>121</v>
      </c>
      <c r="G8" s="230"/>
      <c r="H8" s="231"/>
      <c r="I8" s="231"/>
      <c r="J8" s="231"/>
      <c r="K8" s="50"/>
    </row>
    <row r="9" spans="1:13" ht="13.8" thickBot="1" x14ac:dyDescent="0.3">
      <c r="F9" s="229" t="s">
        <v>120</v>
      </c>
      <c r="G9" s="232"/>
      <c r="H9" s="232"/>
      <c r="I9" s="233"/>
      <c r="J9" s="232"/>
    </row>
    <row r="10" spans="1:13" x14ac:dyDescent="0.25">
      <c r="A10" s="37"/>
      <c r="B10" s="37"/>
      <c r="C10" s="37"/>
      <c r="D10" s="37"/>
      <c r="E10" s="37"/>
      <c r="F10" s="214"/>
      <c r="G10" s="37"/>
      <c r="H10" s="37"/>
      <c r="I10" s="37"/>
      <c r="J10" s="37"/>
      <c r="K10" s="50"/>
    </row>
    <row r="11" spans="1:13" x14ac:dyDescent="0.25">
      <c r="A11" s="41" t="s">
        <v>122</v>
      </c>
      <c r="B11" s="34"/>
      <c r="C11" s="34"/>
      <c r="D11" s="47">
        <f>IF(Values_Entered,-PMT(Interest_Rate/12,Loan_Years*12,Loan_Amount),"")</f>
        <v>184.02690768512142</v>
      </c>
      <c r="E11" s="34"/>
      <c r="F11" s="212"/>
      <c r="G11" s="185"/>
      <c r="H11" s="185"/>
      <c r="I11" s="34"/>
      <c r="J11" s="34"/>
      <c r="K11" s="50"/>
    </row>
    <row r="12" spans="1:13" ht="14.25" customHeight="1" x14ac:dyDescent="0.25">
      <c r="A12" s="41" t="s">
        <v>47</v>
      </c>
      <c r="B12" s="34"/>
      <c r="C12" s="34"/>
      <c r="D12" s="186">
        <f>IF(Values_Entered,Loan_Years*12,"")</f>
        <v>120</v>
      </c>
      <c r="E12" s="34"/>
      <c r="F12" s="212"/>
      <c r="G12" s="185"/>
      <c r="H12" s="185"/>
      <c r="I12" s="34"/>
      <c r="J12" s="34"/>
      <c r="K12" s="50"/>
    </row>
    <row r="13" spans="1:13" x14ac:dyDescent="0.25">
      <c r="A13" s="41" t="s">
        <v>48</v>
      </c>
      <c r="B13" s="34"/>
      <c r="C13" s="34"/>
      <c r="D13" s="186">
        <f>IF(Values_Entered,Number_of_Payments,"")</f>
        <v>120</v>
      </c>
      <c r="E13" s="34"/>
      <c r="F13" s="212"/>
      <c r="G13" s="34"/>
      <c r="H13" s="34"/>
      <c r="I13" s="34"/>
      <c r="J13" s="34"/>
      <c r="K13" s="50"/>
      <c r="M13" s="48"/>
    </row>
    <row r="14" spans="1:13" x14ac:dyDescent="0.25">
      <c r="A14" s="41" t="s">
        <v>132</v>
      </c>
      <c r="B14" s="34"/>
      <c r="C14" s="33"/>
      <c r="D14" s="47">
        <f>IF(Values_Entered,SUMIF(Beg_Bal,"&gt;0",Extra_Pay),"")+SUM(F18:F377)</f>
        <v>0</v>
      </c>
      <c r="E14" s="219"/>
      <c r="F14" s="234" t="str">
        <f>IF(SUM(F18:F377)&gt;0,"Individuelle Sondertilgungen im Bereich F18-F377 überprüfen und allenfals löschen.","Es sind keine individuellen Sondertilgungen vorhanden.")</f>
        <v>Es sind keine individuellen Sondertilgungen vorhanden.</v>
      </c>
      <c r="G14" s="210"/>
      <c r="H14" s="34"/>
      <c r="I14" s="34"/>
      <c r="J14" s="34"/>
      <c r="K14" s="50"/>
    </row>
    <row r="15" spans="1:13" x14ac:dyDescent="0.25">
      <c r="A15" s="41" t="s">
        <v>42</v>
      </c>
      <c r="B15" s="34"/>
      <c r="C15" s="34"/>
      <c r="D15" s="47">
        <f>IF(Values_Entered,SUMIF(Beg_Bal,"&gt;0",Int),"")</f>
        <v>2083.2289222145696</v>
      </c>
      <c r="E15" s="183"/>
      <c r="F15" s="215"/>
      <c r="G15" s="185"/>
      <c r="H15" s="185"/>
      <c r="I15" s="34"/>
      <c r="J15" s="34"/>
      <c r="K15" s="50"/>
    </row>
    <row r="16" spans="1:13" x14ac:dyDescent="0.25">
      <c r="A16" s="34"/>
      <c r="B16" s="34"/>
      <c r="C16" s="34"/>
      <c r="D16" s="34"/>
      <c r="E16" s="46"/>
      <c r="F16" s="216"/>
      <c r="G16" s="46"/>
      <c r="H16" s="46"/>
      <c r="I16" s="34"/>
      <c r="J16" s="34"/>
      <c r="K16" s="50"/>
    </row>
    <row r="17" spans="1:12" s="48" customFormat="1" ht="34.950000000000003" customHeight="1" x14ac:dyDescent="0.25">
      <c r="A17" s="220" t="s">
        <v>35</v>
      </c>
      <c r="B17" s="220" t="s">
        <v>118</v>
      </c>
      <c r="C17" s="220" t="s">
        <v>43</v>
      </c>
      <c r="D17" s="220" t="s">
        <v>49</v>
      </c>
      <c r="E17" s="220" t="s">
        <v>117</v>
      </c>
      <c r="F17" s="221" t="s">
        <v>119</v>
      </c>
      <c r="G17" s="220" t="s">
        <v>50</v>
      </c>
      <c r="H17" s="220" t="s">
        <v>44</v>
      </c>
      <c r="I17" s="220" t="s">
        <v>33</v>
      </c>
      <c r="J17" s="220" t="s">
        <v>45</v>
      </c>
      <c r="K17" s="51"/>
    </row>
    <row r="18" spans="1:12" s="48" customFormat="1" x14ac:dyDescent="0.25">
      <c r="A18" s="35">
        <f>IF(Values_Entered,1,"")</f>
        <v>1</v>
      </c>
      <c r="B18" s="182">
        <f>IF(Pay_Num&lt;&gt;"",Loan_Start,"")</f>
        <v>44927</v>
      </c>
      <c r="C18" s="183">
        <f>IF(Values_Entered,Loan_Amount,"")</f>
        <v>20000</v>
      </c>
      <c r="D18" s="183">
        <f t="shared" ref="D18:D81" si="0">IF(Pay_Num&lt;&gt;"",Scheduled_Monthly_Payment,"")</f>
        <v>184.02690768512142</v>
      </c>
      <c r="E18" s="183">
        <f t="shared" ref="E18:E24" si="1">IF(Pay_Num&lt;&gt;"",Scheduled_Extra_Payments,"")</f>
        <v>0</v>
      </c>
      <c r="F18" s="227"/>
      <c r="G18" s="183">
        <f t="shared" ref="G18:G81" si="2">IF(Pay_Num&lt;&gt;"",Sched_Pay+Extra_Pay,"")+F18</f>
        <v>184.02690768512142</v>
      </c>
      <c r="H18" s="183">
        <f t="shared" ref="H18:H81" si="3">IF(Pay_Num&lt;&gt;"",Total_Pay-Int,"")</f>
        <v>150.69357435178807</v>
      </c>
      <c r="I18" s="183">
        <f t="shared" ref="I18:I81" si="4">IF(Pay_Num&lt;&gt;"",Beg_Bal*Interest_Rate/12,"")</f>
        <v>33.333333333333336</v>
      </c>
      <c r="J18" s="184">
        <f t="shared" ref="J18:J81" si="5">IF(Pay_Num&lt;&gt;"",Beg_Bal-Princ,"")</f>
        <v>19849.30642564821</v>
      </c>
      <c r="K18" s="51">
        <f>A18</f>
        <v>1</v>
      </c>
    </row>
    <row r="19" spans="1:12" s="48" customFormat="1" ht="12.75" customHeight="1" x14ac:dyDescent="0.25">
      <c r="A19" s="35">
        <f t="shared" ref="A19:A82" si="6">IF(Values_Entered,A18+1,"")</f>
        <v>2</v>
      </c>
      <c r="B19" s="182">
        <f t="shared" ref="B19:B82" si="7">IF(Pay_Num&lt;&gt;"",DATE(YEAR(B18),MONTH(B18)+1,DAY(B18)),"")</f>
        <v>44958</v>
      </c>
      <c r="C19" s="183">
        <f t="shared" ref="C19:C82" si="8">IF(Pay_Num&lt;&gt;"",J18,"")</f>
        <v>19849.30642564821</v>
      </c>
      <c r="D19" s="183">
        <f t="shared" si="0"/>
        <v>184.02690768512142</v>
      </c>
      <c r="E19" s="183">
        <f t="shared" si="1"/>
        <v>0</v>
      </c>
      <c r="F19" s="227"/>
      <c r="G19" s="183">
        <f t="shared" si="2"/>
        <v>184.02690768512142</v>
      </c>
      <c r="H19" s="183">
        <f t="shared" si="3"/>
        <v>150.94473030904106</v>
      </c>
      <c r="I19" s="183">
        <f t="shared" si="4"/>
        <v>33.082177376080352</v>
      </c>
      <c r="J19" s="184">
        <f t="shared" si="5"/>
        <v>19698.361695339168</v>
      </c>
      <c r="K19" s="51">
        <f t="shared" ref="K19:K82" si="9">IF(A19&gt;$D$13,"",K18+1)</f>
        <v>2</v>
      </c>
    </row>
    <row r="20" spans="1:12" s="48" customFormat="1" ht="12.75" customHeight="1" x14ac:dyDescent="0.25">
      <c r="A20" s="35">
        <f t="shared" si="6"/>
        <v>3</v>
      </c>
      <c r="B20" s="182">
        <f t="shared" si="7"/>
        <v>44986</v>
      </c>
      <c r="C20" s="183">
        <f t="shared" si="8"/>
        <v>19698.361695339168</v>
      </c>
      <c r="D20" s="183">
        <f t="shared" si="0"/>
        <v>184.02690768512142</v>
      </c>
      <c r="E20" s="183">
        <f t="shared" si="1"/>
        <v>0</v>
      </c>
      <c r="F20" s="227"/>
      <c r="G20" s="183">
        <f t="shared" si="2"/>
        <v>184.02690768512142</v>
      </c>
      <c r="H20" s="183">
        <f t="shared" si="3"/>
        <v>151.19630485955614</v>
      </c>
      <c r="I20" s="183">
        <f t="shared" si="4"/>
        <v>32.830602825565279</v>
      </c>
      <c r="J20" s="184">
        <f t="shared" si="5"/>
        <v>19547.165390479611</v>
      </c>
      <c r="K20" s="51">
        <f t="shared" si="9"/>
        <v>3</v>
      </c>
    </row>
    <row r="21" spans="1:12" s="48" customFormat="1" x14ac:dyDescent="0.25">
      <c r="A21" s="35">
        <f t="shared" si="6"/>
        <v>4</v>
      </c>
      <c r="B21" s="182">
        <f t="shared" si="7"/>
        <v>45017</v>
      </c>
      <c r="C21" s="183">
        <f t="shared" si="8"/>
        <v>19547.165390479611</v>
      </c>
      <c r="D21" s="183">
        <f t="shared" si="0"/>
        <v>184.02690768512142</v>
      </c>
      <c r="E21" s="183">
        <f t="shared" si="1"/>
        <v>0</v>
      </c>
      <c r="F21" s="227"/>
      <c r="G21" s="183">
        <f t="shared" si="2"/>
        <v>184.02690768512142</v>
      </c>
      <c r="H21" s="183">
        <f t="shared" si="3"/>
        <v>151.44829870098874</v>
      </c>
      <c r="I21" s="183">
        <f t="shared" si="4"/>
        <v>32.578608984132686</v>
      </c>
      <c r="J21" s="184">
        <f t="shared" si="5"/>
        <v>19395.717091778621</v>
      </c>
      <c r="K21" s="51">
        <f t="shared" si="9"/>
        <v>4</v>
      </c>
    </row>
    <row r="22" spans="1:12" s="48" customFormat="1" x14ac:dyDescent="0.25">
      <c r="A22" s="35">
        <f t="shared" si="6"/>
        <v>5</v>
      </c>
      <c r="B22" s="182">
        <f t="shared" si="7"/>
        <v>45047</v>
      </c>
      <c r="C22" s="183">
        <f t="shared" si="8"/>
        <v>19395.717091778621</v>
      </c>
      <c r="D22" s="183">
        <f t="shared" si="0"/>
        <v>184.02690768512142</v>
      </c>
      <c r="E22" s="183">
        <f t="shared" si="1"/>
        <v>0</v>
      </c>
      <c r="F22" s="227"/>
      <c r="G22" s="183">
        <f t="shared" si="2"/>
        <v>184.02690768512142</v>
      </c>
      <c r="H22" s="183">
        <f t="shared" si="3"/>
        <v>151.70071253215704</v>
      </c>
      <c r="I22" s="183">
        <f t="shared" si="4"/>
        <v>32.326195152964367</v>
      </c>
      <c r="J22" s="184">
        <f t="shared" si="5"/>
        <v>19244.016379246463</v>
      </c>
      <c r="K22" s="51">
        <f t="shared" si="9"/>
        <v>5</v>
      </c>
    </row>
    <row r="23" spans="1:12" x14ac:dyDescent="0.25">
      <c r="A23" s="35">
        <f t="shared" si="6"/>
        <v>6</v>
      </c>
      <c r="B23" s="182">
        <f t="shared" si="7"/>
        <v>45078</v>
      </c>
      <c r="C23" s="183">
        <f t="shared" si="8"/>
        <v>19244.016379246463</v>
      </c>
      <c r="D23" s="183">
        <f t="shared" si="0"/>
        <v>184.02690768512142</v>
      </c>
      <c r="E23" s="183">
        <f t="shared" si="1"/>
        <v>0</v>
      </c>
      <c r="F23" s="228"/>
      <c r="G23" s="183">
        <f t="shared" si="2"/>
        <v>184.02690768512142</v>
      </c>
      <c r="H23" s="183">
        <f t="shared" si="3"/>
        <v>151.95354705304396</v>
      </c>
      <c r="I23" s="183">
        <f t="shared" si="4"/>
        <v>32.073360632077438</v>
      </c>
      <c r="J23" s="184">
        <f t="shared" si="5"/>
        <v>19092.06283219342</v>
      </c>
      <c r="K23" s="51">
        <f t="shared" si="9"/>
        <v>6</v>
      </c>
      <c r="L23" s="48"/>
    </row>
    <row r="24" spans="1:12" x14ac:dyDescent="0.25">
      <c r="A24" s="35">
        <f t="shared" si="6"/>
        <v>7</v>
      </c>
      <c r="B24" s="182">
        <f t="shared" si="7"/>
        <v>45108</v>
      </c>
      <c r="C24" s="183">
        <f t="shared" si="8"/>
        <v>19092.06283219342</v>
      </c>
      <c r="D24" s="183">
        <f t="shared" si="0"/>
        <v>184.02690768512142</v>
      </c>
      <c r="E24" s="183">
        <f t="shared" si="1"/>
        <v>0</v>
      </c>
      <c r="F24" s="227"/>
      <c r="G24" s="183">
        <f t="shared" si="2"/>
        <v>184.02690768512142</v>
      </c>
      <c r="H24" s="183">
        <f t="shared" si="3"/>
        <v>152.20680296479904</v>
      </c>
      <c r="I24" s="183">
        <f t="shared" si="4"/>
        <v>31.820104720322366</v>
      </c>
      <c r="J24" s="184">
        <f t="shared" si="5"/>
        <v>18939.85602922862</v>
      </c>
      <c r="K24" s="51">
        <f t="shared" si="9"/>
        <v>7</v>
      </c>
      <c r="L24" s="48"/>
    </row>
    <row r="25" spans="1:12" x14ac:dyDescent="0.25">
      <c r="A25" s="35">
        <f t="shared" si="6"/>
        <v>8</v>
      </c>
      <c r="B25" s="182">
        <f t="shared" si="7"/>
        <v>45139</v>
      </c>
      <c r="C25" s="183">
        <f t="shared" si="8"/>
        <v>18939.85602922862</v>
      </c>
      <c r="D25" s="183">
        <f t="shared" si="0"/>
        <v>184.02690768512142</v>
      </c>
      <c r="E25" s="183">
        <f t="shared" ref="E25:E49" si="10">IF(Pay_Num&lt;&gt;"",Scheduled_Extra_Payments,"")</f>
        <v>0</v>
      </c>
      <c r="F25" s="227"/>
      <c r="G25" s="183">
        <f t="shared" si="2"/>
        <v>184.02690768512142</v>
      </c>
      <c r="H25" s="183">
        <f t="shared" si="3"/>
        <v>152.46048096974039</v>
      </c>
      <c r="I25" s="183">
        <f t="shared" si="4"/>
        <v>31.566426715381031</v>
      </c>
      <c r="J25" s="184">
        <f t="shared" si="5"/>
        <v>18787.395548258879</v>
      </c>
      <c r="K25" s="51">
        <f t="shared" si="9"/>
        <v>8</v>
      </c>
      <c r="L25" s="48"/>
    </row>
    <row r="26" spans="1:12" x14ac:dyDescent="0.25">
      <c r="A26" s="35">
        <f t="shared" si="6"/>
        <v>9</v>
      </c>
      <c r="B26" s="182">
        <f t="shared" si="7"/>
        <v>45170</v>
      </c>
      <c r="C26" s="183">
        <f t="shared" si="8"/>
        <v>18787.395548258879</v>
      </c>
      <c r="D26" s="183">
        <f t="shared" si="0"/>
        <v>184.02690768512142</v>
      </c>
      <c r="E26" s="183">
        <f t="shared" si="10"/>
        <v>0</v>
      </c>
      <c r="F26" s="227"/>
      <c r="G26" s="183">
        <f t="shared" si="2"/>
        <v>184.02690768512142</v>
      </c>
      <c r="H26" s="183">
        <f t="shared" si="3"/>
        <v>152.71458177135662</v>
      </c>
      <c r="I26" s="183">
        <f t="shared" si="4"/>
        <v>31.312325913764798</v>
      </c>
      <c r="J26" s="184">
        <f t="shared" si="5"/>
        <v>18634.680966487522</v>
      </c>
      <c r="K26" s="51">
        <f t="shared" si="9"/>
        <v>9</v>
      </c>
      <c r="L26" s="48"/>
    </row>
    <row r="27" spans="1:12" x14ac:dyDescent="0.25">
      <c r="A27" s="35">
        <f t="shared" si="6"/>
        <v>10</v>
      </c>
      <c r="B27" s="182">
        <f t="shared" si="7"/>
        <v>45200</v>
      </c>
      <c r="C27" s="183">
        <f t="shared" si="8"/>
        <v>18634.680966487522</v>
      </c>
      <c r="D27" s="183">
        <f t="shared" si="0"/>
        <v>184.02690768512142</v>
      </c>
      <c r="E27" s="183">
        <f t="shared" si="10"/>
        <v>0</v>
      </c>
      <c r="F27" s="227"/>
      <c r="G27" s="183">
        <f t="shared" si="2"/>
        <v>184.02690768512142</v>
      </c>
      <c r="H27" s="183">
        <f t="shared" si="3"/>
        <v>152.96910607430888</v>
      </c>
      <c r="I27" s="183">
        <f t="shared" si="4"/>
        <v>31.057801610812536</v>
      </c>
      <c r="J27" s="184">
        <f t="shared" si="5"/>
        <v>18481.711860413212</v>
      </c>
      <c r="K27" s="51">
        <f t="shared" si="9"/>
        <v>10</v>
      </c>
      <c r="L27" s="48"/>
    </row>
    <row r="28" spans="1:12" x14ac:dyDescent="0.25">
      <c r="A28" s="35">
        <f t="shared" si="6"/>
        <v>11</v>
      </c>
      <c r="B28" s="182">
        <f t="shared" si="7"/>
        <v>45231</v>
      </c>
      <c r="C28" s="183">
        <f t="shared" si="8"/>
        <v>18481.711860413212</v>
      </c>
      <c r="D28" s="183">
        <f t="shared" si="0"/>
        <v>184.02690768512142</v>
      </c>
      <c r="E28" s="183">
        <f t="shared" si="10"/>
        <v>0</v>
      </c>
      <c r="F28" s="227"/>
      <c r="G28" s="183">
        <f t="shared" si="2"/>
        <v>184.02690768512142</v>
      </c>
      <c r="H28" s="183">
        <f t="shared" si="3"/>
        <v>153.22405458443274</v>
      </c>
      <c r="I28" s="183">
        <f t="shared" si="4"/>
        <v>30.80285310068869</v>
      </c>
      <c r="J28" s="184">
        <f t="shared" si="5"/>
        <v>18328.48780582878</v>
      </c>
      <c r="K28" s="51">
        <f t="shared" si="9"/>
        <v>11</v>
      </c>
      <c r="L28" s="48"/>
    </row>
    <row r="29" spans="1:12" x14ac:dyDescent="0.25">
      <c r="A29" s="35">
        <f t="shared" si="6"/>
        <v>12</v>
      </c>
      <c r="B29" s="182">
        <f t="shared" si="7"/>
        <v>45261</v>
      </c>
      <c r="C29" s="183">
        <f t="shared" si="8"/>
        <v>18328.48780582878</v>
      </c>
      <c r="D29" s="183">
        <f t="shared" si="0"/>
        <v>184.02690768512142</v>
      </c>
      <c r="E29" s="183">
        <f t="shared" si="10"/>
        <v>0</v>
      </c>
      <c r="F29" s="227"/>
      <c r="G29" s="183">
        <f t="shared" si="2"/>
        <v>184.02690768512142</v>
      </c>
      <c r="H29" s="183">
        <f t="shared" si="3"/>
        <v>153.47942800874011</v>
      </c>
      <c r="I29" s="183">
        <f t="shared" si="4"/>
        <v>30.5474796763813</v>
      </c>
      <c r="J29" s="184">
        <f t="shared" si="5"/>
        <v>18175.008377820039</v>
      </c>
      <c r="K29" s="51">
        <f t="shared" si="9"/>
        <v>12</v>
      </c>
      <c r="L29" s="48"/>
    </row>
    <row r="30" spans="1:12" x14ac:dyDescent="0.25">
      <c r="A30" s="35">
        <f t="shared" si="6"/>
        <v>13</v>
      </c>
      <c r="B30" s="182">
        <f t="shared" si="7"/>
        <v>45292</v>
      </c>
      <c r="C30" s="183">
        <f t="shared" si="8"/>
        <v>18175.008377820039</v>
      </c>
      <c r="D30" s="183">
        <f t="shared" si="0"/>
        <v>184.02690768512142</v>
      </c>
      <c r="E30" s="183">
        <f t="shared" si="10"/>
        <v>0</v>
      </c>
      <c r="F30" s="227"/>
      <c r="G30" s="183">
        <f t="shared" si="2"/>
        <v>184.02690768512142</v>
      </c>
      <c r="H30" s="183">
        <f t="shared" si="3"/>
        <v>153.73522705542135</v>
      </c>
      <c r="I30" s="183">
        <f t="shared" si="4"/>
        <v>30.291680629700064</v>
      </c>
      <c r="J30" s="184">
        <f t="shared" si="5"/>
        <v>18021.273150764617</v>
      </c>
      <c r="K30" s="51">
        <f t="shared" si="9"/>
        <v>13</v>
      </c>
      <c r="L30" s="48"/>
    </row>
    <row r="31" spans="1:12" x14ac:dyDescent="0.25">
      <c r="A31" s="35">
        <f t="shared" si="6"/>
        <v>14</v>
      </c>
      <c r="B31" s="182">
        <f t="shared" si="7"/>
        <v>45323</v>
      </c>
      <c r="C31" s="183">
        <f t="shared" si="8"/>
        <v>18021.273150764617</v>
      </c>
      <c r="D31" s="183">
        <f t="shared" si="0"/>
        <v>184.02690768512142</v>
      </c>
      <c r="E31" s="183">
        <f t="shared" si="10"/>
        <v>0</v>
      </c>
      <c r="F31" s="227"/>
      <c r="G31" s="183">
        <f t="shared" si="2"/>
        <v>184.02690768512142</v>
      </c>
      <c r="H31" s="183">
        <f t="shared" si="3"/>
        <v>153.99145243384706</v>
      </c>
      <c r="I31" s="183">
        <f t="shared" si="4"/>
        <v>30.03545525127436</v>
      </c>
      <c r="J31" s="184">
        <f t="shared" si="5"/>
        <v>17867.281698330771</v>
      </c>
      <c r="K31" s="51">
        <f t="shared" si="9"/>
        <v>14</v>
      </c>
      <c r="L31" s="48"/>
    </row>
    <row r="32" spans="1:12" x14ac:dyDescent="0.25">
      <c r="A32" s="35">
        <f t="shared" si="6"/>
        <v>15</v>
      </c>
      <c r="B32" s="182">
        <f t="shared" si="7"/>
        <v>45352</v>
      </c>
      <c r="C32" s="183">
        <f t="shared" si="8"/>
        <v>17867.281698330771</v>
      </c>
      <c r="D32" s="183">
        <f t="shared" si="0"/>
        <v>184.02690768512142</v>
      </c>
      <c r="E32" s="183">
        <f t="shared" si="10"/>
        <v>0</v>
      </c>
      <c r="F32" s="227"/>
      <c r="G32" s="183">
        <f t="shared" si="2"/>
        <v>184.02690768512142</v>
      </c>
      <c r="H32" s="183">
        <f t="shared" si="3"/>
        <v>154.24810485457013</v>
      </c>
      <c r="I32" s="183">
        <f t="shared" si="4"/>
        <v>29.778802830551285</v>
      </c>
      <c r="J32" s="184">
        <f t="shared" si="5"/>
        <v>17713.033593476201</v>
      </c>
      <c r="K32" s="51">
        <f t="shared" si="9"/>
        <v>15</v>
      </c>
      <c r="L32" s="48"/>
    </row>
    <row r="33" spans="1:12" x14ac:dyDescent="0.25">
      <c r="A33" s="35">
        <f t="shared" si="6"/>
        <v>16</v>
      </c>
      <c r="B33" s="182">
        <f t="shared" si="7"/>
        <v>45383</v>
      </c>
      <c r="C33" s="183">
        <f t="shared" si="8"/>
        <v>17713.033593476201</v>
      </c>
      <c r="D33" s="183">
        <f t="shared" si="0"/>
        <v>184.02690768512142</v>
      </c>
      <c r="E33" s="183">
        <f t="shared" si="10"/>
        <v>0</v>
      </c>
      <c r="F33" s="227"/>
      <c r="G33" s="183">
        <f t="shared" si="2"/>
        <v>184.02690768512142</v>
      </c>
      <c r="H33" s="183">
        <f t="shared" si="3"/>
        <v>154.50518502932775</v>
      </c>
      <c r="I33" s="183">
        <f t="shared" si="4"/>
        <v>29.521722655793667</v>
      </c>
      <c r="J33" s="184">
        <f t="shared" si="5"/>
        <v>17558.528408446873</v>
      </c>
      <c r="K33" s="51">
        <f t="shared" si="9"/>
        <v>16</v>
      </c>
      <c r="L33" s="48"/>
    </row>
    <row r="34" spans="1:12" x14ac:dyDescent="0.25">
      <c r="A34" s="35">
        <f t="shared" si="6"/>
        <v>17</v>
      </c>
      <c r="B34" s="182">
        <f t="shared" si="7"/>
        <v>45413</v>
      </c>
      <c r="C34" s="183">
        <f t="shared" si="8"/>
        <v>17558.528408446873</v>
      </c>
      <c r="D34" s="183">
        <f t="shared" si="0"/>
        <v>184.02690768512142</v>
      </c>
      <c r="E34" s="183">
        <f t="shared" si="10"/>
        <v>0</v>
      </c>
      <c r="F34" s="227"/>
      <c r="G34" s="183">
        <f t="shared" si="2"/>
        <v>184.02690768512142</v>
      </c>
      <c r="H34" s="183">
        <f t="shared" si="3"/>
        <v>154.76269367104328</v>
      </c>
      <c r="I34" s="183">
        <f t="shared" si="4"/>
        <v>29.264214014078121</v>
      </c>
      <c r="J34" s="184">
        <f t="shared" si="5"/>
        <v>17403.765714775829</v>
      </c>
      <c r="K34" s="51">
        <f t="shared" si="9"/>
        <v>17</v>
      </c>
      <c r="L34" s="48"/>
    </row>
    <row r="35" spans="1:12" x14ac:dyDescent="0.25">
      <c r="A35" s="35">
        <f t="shared" si="6"/>
        <v>18</v>
      </c>
      <c r="B35" s="182">
        <f t="shared" si="7"/>
        <v>45444</v>
      </c>
      <c r="C35" s="183">
        <f t="shared" si="8"/>
        <v>17403.765714775829</v>
      </c>
      <c r="D35" s="183">
        <f t="shared" si="0"/>
        <v>184.02690768512142</v>
      </c>
      <c r="E35" s="183">
        <f t="shared" si="10"/>
        <v>0</v>
      </c>
      <c r="F35" s="227"/>
      <c r="G35" s="183">
        <f t="shared" si="2"/>
        <v>184.02690768512142</v>
      </c>
      <c r="H35" s="183">
        <f t="shared" si="3"/>
        <v>155.02063149382838</v>
      </c>
      <c r="I35" s="183">
        <f t="shared" si="4"/>
        <v>29.00627619129305</v>
      </c>
      <c r="J35" s="184">
        <f t="shared" si="5"/>
        <v>17248.745083282</v>
      </c>
      <c r="K35" s="51">
        <f t="shared" si="9"/>
        <v>18</v>
      </c>
      <c r="L35" s="48"/>
    </row>
    <row r="36" spans="1:12" x14ac:dyDescent="0.25">
      <c r="A36" s="35">
        <f t="shared" si="6"/>
        <v>19</v>
      </c>
      <c r="B36" s="182">
        <f t="shared" si="7"/>
        <v>45474</v>
      </c>
      <c r="C36" s="183">
        <f t="shared" si="8"/>
        <v>17248.745083282</v>
      </c>
      <c r="D36" s="183">
        <f t="shared" si="0"/>
        <v>184.02690768512142</v>
      </c>
      <c r="E36" s="183">
        <f t="shared" si="10"/>
        <v>0</v>
      </c>
      <c r="F36" s="227"/>
      <c r="G36" s="183">
        <f t="shared" si="2"/>
        <v>184.02690768512142</v>
      </c>
      <c r="H36" s="183">
        <f t="shared" si="3"/>
        <v>155.27899921298476</v>
      </c>
      <c r="I36" s="183">
        <f t="shared" si="4"/>
        <v>28.747908472136668</v>
      </c>
      <c r="J36" s="184">
        <f t="shared" si="5"/>
        <v>17093.466084069016</v>
      </c>
      <c r="K36" s="51">
        <f t="shared" si="9"/>
        <v>19</v>
      </c>
      <c r="L36" s="48"/>
    </row>
    <row r="37" spans="1:12" x14ac:dyDescent="0.25">
      <c r="A37" s="35">
        <f t="shared" si="6"/>
        <v>20</v>
      </c>
      <c r="B37" s="182">
        <f t="shared" si="7"/>
        <v>45505</v>
      </c>
      <c r="C37" s="183">
        <f t="shared" si="8"/>
        <v>17093.466084069016</v>
      </c>
      <c r="D37" s="183">
        <f t="shared" si="0"/>
        <v>184.02690768512142</v>
      </c>
      <c r="E37" s="183">
        <f t="shared" si="10"/>
        <v>0</v>
      </c>
      <c r="F37" s="227"/>
      <c r="G37" s="183">
        <f t="shared" si="2"/>
        <v>184.02690768512142</v>
      </c>
      <c r="H37" s="183">
        <f t="shared" si="3"/>
        <v>155.53779754500638</v>
      </c>
      <c r="I37" s="183">
        <f t="shared" si="4"/>
        <v>28.489110140115027</v>
      </c>
      <c r="J37" s="184">
        <f t="shared" si="5"/>
        <v>16937.928286524009</v>
      </c>
      <c r="K37" s="51">
        <f t="shared" si="9"/>
        <v>20</v>
      </c>
      <c r="L37" s="48"/>
    </row>
    <row r="38" spans="1:12" x14ac:dyDescent="0.25">
      <c r="A38" s="35">
        <f t="shared" si="6"/>
        <v>21</v>
      </c>
      <c r="B38" s="182">
        <f t="shared" si="7"/>
        <v>45536</v>
      </c>
      <c r="C38" s="183">
        <f t="shared" si="8"/>
        <v>16937.928286524009</v>
      </c>
      <c r="D38" s="183">
        <f t="shared" si="0"/>
        <v>184.02690768512142</v>
      </c>
      <c r="E38" s="183">
        <f t="shared" si="10"/>
        <v>0</v>
      </c>
      <c r="F38" s="227"/>
      <c r="G38" s="183">
        <f t="shared" si="2"/>
        <v>184.02690768512142</v>
      </c>
      <c r="H38" s="183">
        <f t="shared" si="3"/>
        <v>155.79702720758141</v>
      </c>
      <c r="I38" s="183">
        <f t="shared" si="4"/>
        <v>28.229880477540018</v>
      </c>
      <c r="J38" s="184">
        <f t="shared" si="5"/>
        <v>16782.131259316429</v>
      </c>
      <c r="K38" s="51">
        <f t="shared" si="9"/>
        <v>21</v>
      </c>
      <c r="L38" s="48"/>
    </row>
    <row r="39" spans="1:12" x14ac:dyDescent="0.25">
      <c r="A39" s="35">
        <f t="shared" si="6"/>
        <v>22</v>
      </c>
      <c r="B39" s="182">
        <f t="shared" si="7"/>
        <v>45566</v>
      </c>
      <c r="C39" s="183">
        <f t="shared" si="8"/>
        <v>16782.131259316429</v>
      </c>
      <c r="D39" s="183">
        <f t="shared" si="0"/>
        <v>184.02690768512142</v>
      </c>
      <c r="E39" s="183">
        <f t="shared" si="10"/>
        <v>0</v>
      </c>
      <c r="F39" s="227"/>
      <c r="G39" s="183">
        <f t="shared" si="2"/>
        <v>184.02690768512142</v>
      </c>
      <c r="H39" s="183">
        <f t="shared" si="3"/>
        <v>156.05668891959402</v>
      </c>
      <c r="I39" s="183">
        <f t="shared" si="4"/>
        <v>27.970218765527381</v>
      </c>
      <c r="J39" s="184">
        <f t="shared" si="5"/>
        <v>16626.074570396835</v>
      </c>
      <c r="K39" s="51">
        <f t="shared" si="9"/>
        <v>22</v>
      </c>
      <c r="L39" s="48"/>
    </row>
    <row r="40" spans="1:12" x14ac:dyDescent="0.25">
      <c r="A40" s="35">
        <f t="shared" si="6"/>
        <v>23</v>
      </c>
      <c r="B40" s="182">
        <f t="shared" si="7"/>
        <v>45597</v>
      </c>
      <c r="C40" s="183">
        <f t="shared" si="8"/>
        <v>16626.074570396835</v>
      </c>
      <c r="D40" s="183">
        <f t="shared" si="0"/>
        <v>184.02690768512142</v>
      </c>
      <c r="E40" s="183">
        <f t="shared" si="10"/>
        <v>0</v>
      </c>
      <c r="F40" s="227"/>
      <c r="G40" s="183">
        <f t="shared" si="2"/>
        <v>184.02690768512142</v>
      </c>
      <c r="H40" s="183">
        <f t="shared" si="3"/>
        <v>156.31678340112668</v>
      </c>
      <c r="I40" s="183">
        <f t="shared" si="4"/>
        <v>27.710124283994727</v>
      </c>
      <c r="J40" s="184">
        <f t="shared" si="5"/>
        <v>16469.757786995709</v>
      </c>
      <c r="K40" s="51">
        <f t="shared" si="9"/>
        <v>23</v>
      </c>
      <c r="L40" s="48"/>
    </row>
    <row r="41" spans="1:12" x14ac:dyDescent="0.25">
      <c r="A41" s="35">
        <f t="shared" si="6"/>
        <v>24</v>
      </c>
      <c r="B41" s="182">
        <f t="shared" si="7"/>
        <v>45627</v>
      </c>
      <c r="C41" s="183">
        <f t="shared" si="8"/>
        <v>16469.757786995709</v>
      </c>
      <c r="D41" s="183">
        <f t="shared" si="0"/>
        <v>184.02690768512142</v>
      </c>
      <c r="E41" s="183">
        <f t="shared" si="10"/>
        <v>0</v>
      </c>
      <c r="F41" s="227"/>
      <c r="G41" s="183">
        <f t="shared" si="2"/>
        <v>184.02690768512142</v>
      </c>
      <c r="H41" s="183">
        <f t="shared" si="3"/>
        <v>156.5773113734619</v>
      </c>
      <c r="I41" s="183">
        <f t="shared" si="4"/>
        <v>27.449596311659516</v>
      </c>
      <c r="J41" s="184">
        <f t="shared" si="5"/>
        <v>16313.180475622248</v>
      </c>
      <c r="K41" s="51">
        <f t="shared" si="9"/>
        <v>24</v>
      </c>
      <c r="L41" s="48"/>
    </row>
    <row r="42" spans="1:12" x14ac:dyDescent="0.25">
      <c r="A42" s="35">
        <f>IF(Values_Entered,A41+1,"")</f>
        <v>25</v>
      </c>
      <c r="B42" s="182">
        <f t="shared" si="7"/>
        <v>45658</v>
      </c>
      <c r="C42" s="183">
        <f t="shared" si="8"/>
        <v>16313.180475622248</v>
      </c>
      <c r="D42" s="183">
        <f t="shared" si="0"/>
        <v>184.02690768512142</v>
      </c>
      <c r="E42" s="183">
        <f t="shared" si="10"/>
        <v>0</v>
      </c>
      <c r="F42" s="227"/>
      <c r="G42" s="183">
        <f t="shared" si="2"/>
        <v>184.02690768512142</v>
      </c>
      <c r="H42" s="183">
        <f t="shared" si="3"/>
        <v>156.83827355908434</v>
      </c>
      <c r="I42" s="183">
        <f t="shared" si="4"/>
        <v>27.188634126037083</v>
      </c>
      <c r="J42" s="184">
        <f t="shared" si="5"/>
        <v>16156.342202063164</v>
      </c>
      <c r="K42" s="51">
        <f t="shared" si="9"/>
        <v>25</v>
      </c>
      <c r="L42" s="48"/>
    </row>
    <row r="43" spans="1:12" x14ac:dyDescent="0.25">
      <c r="A43" s="35">
        <f t="shared" si="6"/>
        <v>26</v>
      </c>
      <c r="B43" s="182">
        <f t="shared" si="7"/>
        <v>45689</v>
      </c>
      <c r="C43" s="183">
        <f t="shared" si="8"/>
        <v>16156.342202063164</v>
      </c>
      <c r="D43" s="183">
        <f t="shared" si="0"/>
        <v>184.02690768512142</v>
      </c>
      <c r="E43" s="183">
        <f t="shared" si="10"/>
        <v>0</v>
      </c>
      <c r="F43" s="227"/>
      <c r="G43" s="183">
        <f t="shared" si="2"/>
        <v>184.02690768512142</v>
      </c>
      <c r="H43" s="183">
        <f t="shared" si="3"/>
        <v>157.09967068168282</v>
      </c>
      <c r="I43" s="183">
        <f t="shared" si="4"/>
        <v>26.927237003438606</v>
      </c>
      <c r="J43" s="184">
        <f t="shared" si="5"/>
        <v>15999.242531381482</v>
      </c>
      <c r="K43" s="51">
        <f t="shared" si="9"/>
        <v>26</v>
      </c>
      <c r="L43" s="48"/>
    </row>
    <row r="44" spans="1:12" x14ac:dyDescent="0.25">
      <c r="A44" s="35">
        <f t="shared" si="6"/>
        <v>27</v>
      </c>
      <c r="B44" s="182">
        <f t="shared" si="7"/>
        <v>45717</v>
      </c>
      <c r="C44" s="183">
        <f t="shared" si="8"/>
        <v>15999.242531381482</v>
      </c>
      <c r="D44" s="183">
        <f t="shared" si="0"/>
        <v>184.02690768512142</v>
      </c>
      <c r="E44" s="183">
        <f t="shared" si="10"/>
        <v>0</v>
      </c>
      <c r="F44" s="227"/>
      <c r="G44" s="183">
        <f t="shared" si="2"/>
        <v>184.02690768512142</v>
      </c>
      <c r="H44" s="183">
        <f t="shared" si="3"/>
        <v>157.36150346615227</v>
      </c>
      <c r="I44" s="183">
        <f t="shared" si="4"/>
        <v>26.66540421896914</v>
      </c>
      <c r="J44" s="184">
        <f t="shared" si="5"/>
        <v>15841.881027915329</v>
      </c>
      <c r="K44" s="51">
        <f t="shared" si="9"/>
        <v>27</v>
      </c>
      <c r="L44" s="48"/>
    </row>
    <row r="45" spans="1:12" x14ac:dyDescent="0.25">
      <c r="A45" s="35">
        <f t="shared" si="6"/>
        <v>28</v>
      </c>
      <c r="B45" s="182">
        <f t="shared" si="7"/>
        <v>45748</v>
      </c>
      <c r="C45" s="183">
        <f t="shared" si="8"/>
        <v>15841.881027915329</v>
      </c>
      <c r="D45" s="183">
        <f t="shared" si="0"/>
        <v>184.02690768512142</v>
      </c>
      <c r="E45" s="183">
        <f t="shared" si="10"/>
        <v>0</v>
      </c>
      <c r="F45" s="227"/>
      <c r="G45" s="183">
        <f t="shared" si="2"/>
        <v>184.02690768512142</v>
      </c>
      <c r="H45" s="183">
        <f t="shared" si="3"/>
        <v>157.62377263859588</v>
      </c>
      <c r="I45" s="183">
        <f t="shared" si="4"/>
        <v>26.403135046525549</v>
      </c>
      <c r="J45" s="184">
        <f t="shared" si="5"/>
        <v>15684.257255276734</v>
      </c>
      <c r="K45" s="51">
        <f t="shared" si="9"/>
        <v>28</v>
      </c>
      <c r="L45" s="48"/>
    </row>
    <row r="46" spans="1:12" x14ac:dyDescent="0.25">
      <c r="A46" s="35">
        <f t="shared" si="6"/>
        <v>29</v>
      </c>
      <c r="B46" s="182">
        <f t="shared" si="7"/>
        <v>45778</v>
      </c>
      <c r="C46" s="183">
        <f t="shared" si="8"/>
        <v>15684.257255276734</v>
      </c>
      <c r="D46" s="183">
        <f t="shared" si="0"/>
        <v>184.02690768512142</v>
      </c>
      <c r="E46" s="183">
        <f t="shared" si="10"/>
        <v>0</v>
      </c>
      <c r="F46" s="227"/>
      <c r="G46" s="183">
        <f t="shared" si="2"/>
        <v>184.02690768512142</v>
      </c>
      <c r="H46" s="183">
        <f t="shared" si="3"/>
        <v>157.88647892632684</v>
      </c>
      <c r="I46" s="183">
        <f t="shared" si="4"/>
        <v>26.140428758794556</v>
      </c>
      <c r="J46" s="184">
        <f t="shared" si="5"/>
        <v>15526.370776350408</v>
      </c>
      <c r="K46" s="51">
        <f t="shared" si="9"/>
        <v>29</v>
      </c>
      <c r="L46" s="48"/>
    </row>
    <row r="47" spans="1:12" x14ac:dyDescent="0.25">
      <c r="A47" s="35">
        <f t="shared" si="6"/>
        <v>30</v>
      </c>
      <c r="B47" s="182">
        <f t="shared" si="7"/>
        <v>45809</v>
      </c>
      <c r="C47" s="183">
        <f t="shared" si="8"/>
        <v>15526.370776350408</v>
      </c>
      <c r="D47" s="183">
        <f t="shared" si="0"/>
        <v>184.02690768512142</v>
      </c>
      <c r="E47" s="183">
        <f t="shared" si="10"/>
        <v>0</v>
      </c>
      <c r="F47" s="227"/>
      <c r="G47" s="183">
        <f t="shared" si="2"/>
        <v>184.02690768512142</v>
      </c>
      <c r="H47" s="183">
        <f t="shared" si="3"/>
        <v>158.14962305787074</v>
      </c>
      <c r="I47" s="183">
        <f t="shared" si="4"/>
        <v>25.877284627250678</v>
      </c>
      <c r="J47" s="184">
        <f t="shared" si="5"/>
        <v>15368.221153292538</v>
      </c>
      <c r="K47" s="51">
        <f t="shared" si="9"/>
        <v>30</v>
      </c>
      <c r="L47" s="48"/>
    </row>
    <row r="48" spans="1:12" x14ac:dyDescent="0.25">
      <c r="A48" s="35">
        <f t="shared" si="6"/>
        <v>31</v>
      </c>
      <c r="B48" s="182">
        <f t="shared" si="7"/>
        <v>45839</v>
      </c>
      <c r="C48" s="183">
        <f t="shared" si="8"/>
        <v>15368.221153292538</v>
      </c>
      <c r="D48" s="183">
        <f t="shared" si="0"/>
        <v>184.02690768512142</v>
      </c>
      <c r="E48" s="183">
        <f t="shared" si="10"/>
        <v>0</v>
      </c>
      <c r="F48" s="227"/>
      <c r="G48" s="183">
        <f t="shared" si="2"/>
        <v>184.02690768512142</v>
      </c>
      <c r="H48" s="183">
        <f t="shared" si="3"/>
        <v>158.41320576296718</v>
      </c>
      <c r="I48" s="183">
        <f t="shared" si="4"/>
        <v>25.613701922154231</v>
      </c>
      <c r="J48" s="184">
        <f t="shared" si="5"/>
        <v>15209.807947529571</v>
      </c>
      <c r="K48" s="51">
        <f t="shared" si="9"/>
        <v>31</v>
      </c>
      <c r="L48" s="48"/>
    </row>
    <row r="49" spans="1:12" x14ac:dyDescent="0.25">
      <c r="A49" s="35">
        <f t="shared" si="6"/>
        <v>32</v>
      </c>
      <c r="B49" s="182">
        <f t="shared" si="7"/>
        <v>45870</v>
      </c>
      <c r="C49" s="183">
        <f t="shared" si="8"/>
        <v>15209.807947529571</v>
      </c>
      <c r="D49" s="183">
        <f t="shared" si="0"/>
        <v>184.02690768512142</v>
      </c>
      <c r="E49" s="183">
        <f t="shared" si="10"/>
        <v>0</v>
      </c>
      <c r="F49" s="227"/>
      <c r="G49" s="183">
        <f t="shared" si="2"/>
        <v>184.02690768512142</v>
      </c>
      <c r="H49" s="183">
        <f t="shared" si="3"/>
        <v>158.67722777257214</v>
      </c>
      <c r="I49" s="183">
        <f t="shared" si="4"/>
        <v>25.349679912549288</v>
      </c>
      <c r="J49" s="184">
        <f t="shared" si="5"/>
        <v>15051.130719756999</v>
      </c>
      <c r="K49" s="51">
        <f t="shared" si="9"/>
        <v>32</v>
      </c>
      <c r="L49" s="48"/>
    </row>
    <row r="50" spans="1:12" x14ac:dyDescent="0.25">
      <c r="A50" s="35">
        <f t="shared" si="6"/>
        <v>33</v>
      </c>
      <c r="B50" s="182">
        <f t="shared" si="7"/>
        <v>45901</v>
      </c>
      <c r="C50" s="183">
        <f t="shared" si="8"/>
        <v>15051.130719756999</v>
      </c>
      <c r="D50" s="183">
        <f t="shared" si="0"/>
        <v>184.02690768512142</v>
      </c>
      <c r="E50" s="183">
        <f t="shared" ref="E50:E72" si="11">IF(Pay_Num&lt;&gt;"",Scheduled_Extra_Payments,"")</f>
        <v>0</v>
      </c>
      <c r="F50" s="227"/>
      <c r="G50" s="183">
        <f t="shared" si="2"/>
        <v>184.02690768512142</v>
      </c>
      <c r="H50" s="183">
        <f t="shared" si="3"/>
        <v>158.94168981885974</v>
      </c>
      <c r="I50" s="183">
        <f t="shared" si="4"/>
        <v>25.085217866261662</v>
      </c>
      <c r="J50" s="184">
        <f t="shared" si="5"/>
        <v>14892.189029938139</v>
      </c>
      <c r="K50" s="51">
        <f t="shared" si="9"/>
        <v>33</v>
      </c>
      <c r="L50" s="48"/>
    </row>
    <row r="51" spans="1:12" x14ac:dyDescent="0.25">
      <c r="A51" s="35">
        <f t="shared" si="6"/>
        <v>34</v>
      </c>
      <c r="B51" s="182">
        <f t="shared" si="7"/>
        <v>45931</v>
      </c>
      <c r="C51" s="183">
        <f t="shared" si="8"/>
        <v>14892.189029938139</v>
      </c>
      <c r="D51" s="183">
        <f t="shared" si="0"/>
        <v>184.02690768512142</v>
      </c>
      <c r="E51" s="183">
        <f t="shared" si="11"/>
        <v>0</v>
      </c>
      <c r="F51" s="227"/>
      <c r="G51" s="183">
        <f t="shared" si="2"/>
        <v>184.02690768512142</v>
      </c>
      <c r="H51" s="183">
        <f t="shared" si="3"/>
        <v>159.20659263522452</v>
      </c>
      <c r="I51" s="183">
        <f t="shared" si="4"/>
        <v>24.820315049896902</v>
      </c>
      <c r="J51" s="184">
        <f t="shared" si="5"/>
        <v>14732.982437302915</v>
      </c>
      <c r="K51" s="51">
        <f t="shared" si="9"/>
        <v>34</v>
      </c>
      <c r="L51" s="48"/>
    </row>
    <row r="52" spans="1:12" x14ac:dyDescent="0.25">
      <c r="A52" s="35">
        <f t="shared" si="6"/>
        <v>35</v>
      </c>
      <c r="B52" s="182">
        <f t="shared" si="7"/>
        <v>45962</v>
      </c>
      <c r="C52" s="183">
        <f t="shared" si="8"/>
        <v>14732.982437302915</v>
      </c>
      <c r="D52" s="183">
        <f t="shared" si="0"/>
        <v>184.02690768512142</v>
      </c>
      <c r="E52" s="183">
        <f t="shared" si="11"/>
        <v>0</v>
      </c>
      <c r="F52" s="227"/>
      <c r="G52" s="183">
        <f t="shared" si="2"/>
        <v>184.02690768512142</v>
      </c>
      <c r="H52" s="183">
        <f t="shared" si="3"/>
        <v>159.47193695628323</v>
      </c>
      <c r="I52" s="183">
        <f t="shared" si="4"/>
        <v>24.554970728838189</v>
      </c>
      <c r="J52" s="184">
        <f t="shared" si="5"/>
        <v>14573.510500346632</v>
      </c>
      <c r="K52" s="51">
        <f t="shared" si="9"/>
        <v>35</v>
      </c>
      <c r="L52" s="48"/>
    </row>
    <row r="53" spans="1:12" x14ac:dyDescent="0.25">
      <c r="A53" s="35">
        <f t="shared" si="6"/>
        <v>36</v>
      </c>
      <c r="B53" s="182">
        <f t="shared" si="7"/>
        <v>45992</v>
      </c>
      <c r="C53" s="183">
        <f t="shared" si="8"/>
        <v>14573.510500346632</v>
      </c>
      <c r="D53" s="183">
        <f t="shared" si="0"/>
        <v>184.02690768512142</v>
      </c>
      <c r="E53" s="183">
        <f t="shared" si="11"/>
        <v>0</v>
      </c>
      <c r="F53" s="227"/>
      <c r="G53" s="183">
        <f t="shared" si="2"/>
        <v>184.02690768512142</v>
      </c>
      <c r="H53" s="183">
        <f t="shared" si="3"/>
        <v>159.73772351787704</v>
      </c>
      <c r="I53" s="183">
        <f t="shared" si="4"/>
        <v>24.289184167244386</v>
      </c>
      <c r="J53" s="184">
        <f t="shared" si="5"/>
        <v>14413.772776828755</v>
      </c>
      <c r="K53" s="51">
        <f t="shared" si="9"/>
        <v>36</v>
      </c>
      <c r="L53" s="48"/>
    </row>
    <row r="54" spans="1:12" x14ac:dyDescent="0.25">
      <c r="A54" s="35">
        <f t="shared" si="6"/>
        <v>37</v>
      </c>
      <c r="B54" s="182">
        <f t="shared" si="7"/>
        <v>46023</v>
      </c>
      <c r="C54" s="183">
        <f t="shared" si="8"/>
        <v>14413.772776828755</v>
      </c>
      <c r="D54" s="183">
        <f t="shared" si="0"/>
        <v>184.02690768512142</v>
      </c>
      <c r="E54" s="183">
        <f t="shared" si="11"/>
        <v>0</v>
      </c>
      <c r="F54" s="227"/>
      <c r="G54" s="183">
        <f t="shared" si="2"/>
        <v>184.02690768512142</v>
      </c>
      <c r="H54" s="183">
        <f t="shared" si="3"/>
        <v>160.00395305707349</v>
      </c>
      <c r="I54" s="183">
        <f t="shared" si="4"/>
        <v>24.022954628047927</v>
      </c>
      <c r="J54" s="184">
        <f t="shared" si="5"/>
        <v>14253.768823771681</v>
      </c>
      <c r="K54" s="51">
        <f t="shared" si="9"/>
        <v>37</v>
      </c>
      <c r="L54" s="48"/>
    </row>
    <row r="55" spans="1:12" x14ac:dyDescent="0.25">
      <c r="A55" s="35">
        <f t="shared" si="6"/>
        <v>38</v>
      </c>
      <c r="B55" s="182">
        <f t="shared" si="7"/>
        <v>46054</v>
      </c>
      <c r="C55" s="183">
        <f t="shared" si="8"/>
        <v>14253.768823771681</v>
      </c>
      <c r="D55" s="183">
        <f t="shared" si="0"/>
        <v>184.02690768512142</v>
      </c>
      <c r="E55" s="183">
        <f t="shared" si="11"/>
        <v>0</v>
      </c>
      <c r="F55" s="227"/>
      <c r="G55" s="183">
        <f t="shared" si="2"/>
        <v>184.02690768512142</v>
      </c>
      <c r="H55" s="183">
        <f t="shared" si="3"/>
        <v>160.27062631216862</v>
      </c>
      <c r="I55" s="183">
        <f t="shared" si="4"/>
        <v>23.756281372952802</v>
      </c>
      <c r="J55" s="184">
        <f t="shared" si="5"/>
        <v>14093.498197459512</v>
      </c>
      <c r="K55" s="51">
        <f t="shared" si="9"/>
        <v>38</v>
      </c>
      <c r="L55" s="48"/>
    </row>
    <row r="56" spans="1:12" x14ac:dyDescent="0.25">
      <c r="A56" s="35">
        <f t="shared" si="6"/>
        <v>39</v>
      </c>
      <c r="B56" s="182">
        <f t="shared" si="7"/>
        <v>46082</v>
      </c>
      <c r="C56" s="183">
        <f t="shared" si="8"/>
        <v>14093.498197459512</v>
      </c>
      <c r="D56" s="183">
        <f t="shared" si="0"/>
        <v>184.02690768512142</v>
      </c>
      <c r="E56" s="183">
        <f t="shared" si="11"/>
        <v>0</v>
      </c>
      <c r="F56" s="227"/>
      <c r="G56" s="183">
        <f t="shared" si="2"/>
        <v>184.02690768512142</v>
      </c>
      <c r="H56" s="183">
        <f t="shared" si="3"/>
        <v>160.53774402268888</v>
      </c>
      <c r="I56" s="183">
        <f t="shared" si="4"/>
        <v>23.489163662432521</v>
      </c>
      <c r="J56" s="184">
        <f t="shared" si="5"/>
        <v>13932.960453436823</v>
      </c>
      <c r="K56" s="51">
        <f t="shared" si="9"/>
        <v>39</v>
      </c>
      <c r="L56" s="48"/>
    </row>
    <row r="57" spans="1:12" x14ac:dyDescent="0.25">
      <c r="A57" s="35">
        <f t="shared" si="6"/>
        <v>40</v>
      </c>
      <c r="B57" s="182">
        <f t="shared" si="7"/>
        <v>46113</v>
      </c>
      <c r="C57" s="183">
        <f t="shared" si="8"/>
        <v>13932.960453436823</v>
      </c>
      <c r="D57" s="183">
        <f t="shared" si="0"/>
        <v>184.02690768512142</v>
      </c>
      <c r="E57" s="183">
        <f t="shared" si="11"/>
        <v>0</v>
      </c>
      <c r="F57" s="227"/>
      <c r="G57" s="183">
        <f t="shared" si="2"/>
        <v>184.02690768512142</v>
      </c>
      <c r="H57" s="183">
        <f t="shared" si="3"/>
        <v>160.80530692939337</v>
      </c>
      <c r="I57" s="183">
        <f t="shared" si="4"/>
        <v>23.221600755728037</v>
      </c>
      <c r="J57" s="184">
        <f t="shared" si="5"/>
        <v>13772.15514650743</v>
      </c>
      <c r="K57" s="51">
        <f t="shared" si="9"/>
        <v>40</v>
      </c>
      <c r="L57" s="48"/>
    </row>
    <row r="58" spans="1:12" x14ac:dyDescent="0.25">
      <c r="A58" s="35">
        <f t="shared" si="6"/>
        <v>41</v>
      </c>
      <c r="B58" s="182">
        <f t="shared" si="7"/>
        <v>46143</v>
      </c>
      <c r="C58" s="183">
        <f t="shared" si="8"/>
        <v>13772.15514650743</v>
      </c>
      <c r="D58" s="183">
        <f t="shared" si="0"/>
        <v>184.02690768512142</v>
      </c>
      <c r="E58" s="183">
        <f t="shared" si="11"/>
        <v>0</v>
      </c>
      <c r="F58" s="227"/>
      <c r="G58" s="183">
        <f t="shared" si="2"/>
        <v>184.02690768512142</v>
      </c>
      <c r="H58" s="183">
        <f t="shared" si="3"/>
        <v>161.0733157742757</v>
      </c>
      <c r="I58" s="183">
        <f t="shared" si="4"/>
        <v>22.953591910845716</v>
      </c>
      <c r="J58" s="184">
        <f t="shared" si="5"/>
        <v>13611.081830733154</v>
      </c>
      <c r="K58" s="51">
        <f t="shared" si="9"/>
        <v>41</v>
      </c>
      <c r="L58" s="48"/>
    </row>
    <row r="59" spans="1:12" x14ac:dyDescent="0.25">
      <c r="A59" s="35">
        <f t="shared" si="6"/>
        <v>42</v>
      </c>
      <c r="B59" s="182">
        <f t="shared" si="7"/>
        <v>46174</v>
      </c>
      <c r="C59" s="183">
        <f t="shared" si="8"/>
        <v>13611.081830733154</v>
      </c>
      <c r="D59" s="183">
        <f t="shared" si="0"/>
        <v>184.02690768512142</v>
      </c>
      <c r="E59" s="183">
        <f t="shared" si="11"/>
        <v>0</v>
      </c>
      <c r="F59" s="227"/>
      <c r="G59" s="183">
        <f t="shared" si="2"/>
        <v>184.02690768512142</v>
      </c>
      <c r="H59" s="183">
        <f t="shared" si="3"/>
        <v>161.34177130056617</v>
      </c>
      <c r="I59" s="183">
        <f t="shared" si="4"/>
        <v>22.685136384555253</v>
      </c>
      <c r="J59" s="184">
        <f t="shared" si="5"/>
        <v>13449.740059432588</v>
      </c>
      <c r="K59" s="51">
        <f t="shared" si="9"/>
        <v>42</v>
      </c>
      <c r="L59" s="48"/>
    </row>
    <row r="60" spans="1:12" x14ac:dyDescent="0.25">
      <c r="A60" s="35">
        <f t="shared" si="6"/>
        <v>43</v>
      </c>
      <c r="B60" s="182">
        <f t="shared" si="7"/>
        <v>46204</v>
      </c>
      <c r="C60" s="183">
        <f t="shared" si="8"/>
        <v>13449.740059432588</v>
      </c>
      <c r="D60" s="183">
        <f t="shared" si="0"/>
        <v>184.02690768512142</v>
      </c>
      <c r="E60" s="183">
        <f t="shared" si="11"/>
        <v>0</v>
      </c>
      <c r="F60" s="227"/>
      <c r="G60" s="183">
        <f t="shared" si="2"/>
        <v>184.02690768512142</v>
      </c>
      <c r="H60" s="183">
        <f t="shared" si="3"/>
        <v>161.61067425273376</v>
      </c>
      <c r="I60" s="183">
        <f t="shared" si="4"/>
        <v>22.416233432387646</v>
      </c>
      <c r="J60" s="184">
        <f t="shared" si="5"/>
        <v>13288.129385179855</v>
      </c>
      <c r="K60" s="51">
        <f t="shared" si="9"/>
        <v>43</v>
      </c>
      <c r="L60" s="48"/>
    </row>
    <row r="61" spans="1:12" x14ac:dyDescent="0.25">
      <c r="A61" s="35">
        <f t="shared" si="6"/>
        <v>44</v>
      </c>
      <c r="B61" s="182">
        <f t="shared" si="7"/>
        <v>46235</v>
      </c>
      <c r="C61" s="183">
        <f t="shared" si="8"/>
        <v>13288.129385179855</v>
      </c>
      <c r="D61" s="183">
        <f t="shared" si="0"/>
        <v>184.02690768512142</v>
      </c>
      <c r="E61" s="183">
        <f t="shared" si="11"/>
        <v>0</v>
      </c>
      <c r="F61" s="227"/>
      <c r="G61" s="183">
        <f t="shared" si="2"/>
        <v>184.02690768512142</v>
      </c>
      <c r="H61" s="183">
        <f t="shared" si="3"/>
        <v>161.88002537648833</v>
      </c>
      <c r="I61" s="183">
        <f t="shared" si="4"/>
        <v>22.146882308633092</v>
      </c>
      <c r="J61" s="184">
        <f t="shared" si="5"/>
        <v>13126.249359803367</v>
      </c>
      <c r="K61" s="51">
        <f t="shared" si="9"/>
        <v>44</v>
      </c>
      <c r="L61" s="48"/>
    </row>
    <row r="62" spans="1:12" x14ac:dyDescent="0.25">
      <c r="A62" s="35">
        <f t="shared" si="6"/>
        <v>45</v>
      </c>
      <c r="B62" s="182">
        <f t="shared" si="7"/>
        <v>46266</v>
      </c>
      <c r="C62" s="183">
        <f t="shared" si="8"/>
        <v>13126.249359803367</v>
      </c>
      <c r="D62" s="183">
        <f t="shared" si="0"/>
        <v>184.02690768512142</v>
      </c>
      <c r="E62" s="183">
        <f t="shared" si="11"/>
        <v>0</v>
      </c>
      <c r="F62" s="227"/>
      <c r="G62" s="183">
        <f t="shared" si="2"/>
        <v>184.02690768512142</v>
      </c>
      <c r="H62" s="183">
        <f t="shared" si="3"/>
        <v>162.14982541878248</v>
      </c>
      <c r="I62" s="183">
        <f t="shared" si="4"/>
        <v>21.877082266338945</v>
      </c>
      <c r="J62" s="184">
        <f t="shared" si="5"/>
        <v>12964.099534384584</v>
      </c>
      <c r="K62" s="51">
        <f t="shared" si="9"/>
        <v>45</v>
      </c>
      <c r="L62" s="48"/>
    </row>
    <row r="63" spans="1:12" x14ac:dyDescent="0.25">
      <c r="A63" s="35">
        <f t="shared" si="6"/>
        <v>46</v>
      </c>
      <c r="B63" s="182">
        <f t="shared" si="7"/>
        <v>46296</v>
      </c>
      <c r="C63" s="183">
        <f t="shared" si="8"/>
        <v>12964.099534384584</v>
      </c>
      <c r="D63" s="183">
        <f t="shared" si="0"/>
        <v>184.02690768512142</v>
      </c>
      <c r="E63" s="183">
        <f t="shared" si="11"/>
        <v>0</v>
      </c>
      <c r="F63" s="227"/>
      <c r="G63" s="183">
        <f t="shared" si="2"/>
        <v>184.02690768512142</v>
      </c>
      <c r="H63" s="183">
        <f t="shared" si="3"/>
        <v>162.42007512781379</v>
      </c>
      <c r="I63" s="183">
        <f t="shared" si="4"/>
        <v>21.606832557307641</v>
      </c>
      <c r="J63" s="184">
        <f t="shared" si="5"/>
        <v>12801.679459256771</v>
      </c>
      <c r="K63" s="51">
        <f t="shared" si="9"/>
        <v>46</v>
      </c>
      <c r="L63" s="48"/>
    </row>
    <row r="64" spans="1:12" x14ac:dyDescent="0.25">
      <c r="A64" s="35">
        <f t="shared" si="6"/>
        <v>47</v>
      </c>
      <c r="B64" s="182">
        <f t="shared" si="7"/>
        <v>46327</v>
      </c>
      <c r="C64" s="183">
        <f t="shared" si="8"/>
        <v>12801.679459256771</v>
      </c>
      <c r="D64" s="183">
        <f t="shared" si="0"/>
        <v>184.02690768512142</v>
      </c>
      <c r="E64" s="183">
        <f t="shared" si="11"/>
        <v>0</v>
      </c>
      <c r="F64" s="227"/>
      <c r="G64" s="183">
        <f t="shared" si="2"/>
        <v>184.02690768512142</v>
      </c>
      <c r="H64" s="183">
        <f t="shared" si="3"/>
        <v>162.6907752530268</v>
      </c>
      <c r="I64" s="183">
        <f t="shared" si="4"/>
        <v>21.336132432094619</v>
      </c>
      <c r="J64" s="184">
        <f t="shared" si="5"/>
        <v>12638.988684003745</v>
      </c>
      <c r="K64" s="51">
        <f t="shared" si="9"/>
        <v>47</v>
      </c>
      <c r="L64" s="48"/>
    </row>
    <row r="65" spans="1:12" x14ac:dyDescent="0.25">
      <c r="A65" s="35">
        <f t="shared" si="6"/>
        <v>48</v>
      </c>
      <c r="B65" s="182">
        <f t="shared" si="7"/>
        <v>46357</v>
      </c>
      <c r="C65" s="183">
        <f t="shared" si="8"/>
        <v>12638.988684003745</v>
      </c>
      <c r="D65" s="183">
        <f t="shared" si="0"/>
        <v>184.02690768512142</v>
      </c>
      <c r="E65" s="183">
        <f t="shared" si="11"/>
        <v>0</v>
      </c>
      <c r="F65" s="227"/>
      <c r="G65" s="183">
        <f t="shared" si="2"/>
        <v>184.02690768512142</v>
      </c>
      <c r="H65" s="183">
        <f t="shared" si="3"/>
        <v>162.96192654511518</v>
      </c>
      <c r="I65" s="183">
        <f t="shared" si="4"/>
        <v>21.064981140006243</v>
      </c>
      <c r="J65" s="184">
        <f t="shared" si="5"/>
        <v>12476.026757458631</v>
      </c>
      <c r="K65" s="51">
        <f t="shared" si="9"/>
        <v>48</v>
      </c>
      <c r="L65" s="48"/>
    </row>
    <row r="66" spans="1:12" x14ac:dyDescent="0.25">
      <c r="A66" s="35">
        <f t="shared" si="6"/>
        <v>49</v>
      </c>
      <c r="B66" s="182">
        <f t="shared" si="7"/>
        <v>46388</v>
      </c>
      <c r="C66" s="183">
        <f t="shared" si="8"/>
        <v>12476.026757458631</v>
      </c>
      <c r="D66" s="183">
        <f t="shared" si="0"/>
        <v>184.02690768512142</v>
      </c>
      <c r="E66" s="183">
        <f t="shared" si="11"/>
        <v>0</v>
      </c>
      <c r="F66" s="227"/>
      <c r="G66" s="183">
        <f t="shared" si="2"/>
        <v>184.02690768512142</v>
      </c>
      <c r="H66" s="183">
        <f t="shared" si="3"/>
        <v>163.2335297560237</v>
      </c>
      <c r="I66" s="183">
        <f t="shared" si="4"/>
        <v>20.793377929097719</v>
      </c>
      <c r="J66" s="184">
        <f t="shared" si="5"/>
        <v>12312.793227702607</v>
      </c>
      <c r="K66" s="51">
        <f t="shared" si="9"/>
        <v>49</v>
      </c>
      <c r="L66" s="48"/>
    </row>
    <row r="67" spans="1:12" x14ac:dyDescent="0.25">
      <c r="A67" s="35">
        <f t="shared" si="6"/>
        <v>50</v>
      </c>
      <c r="B67" s="182">
        <f t="shared" si="7"/>
        <v>46419</v>
      </c>
      <c r="C67" s="183">
        <f t="shared" si="8"/>
        <v>12312.793227702607</v>
      </c>
      <c r="D67" s="183">
        <f t="shared" si="0"/>
        <v>184.02690768512142</v>
      </c>
      <c r="E67" s="183">
        <f t="shared" si="11"/>
        <v>0</v>
      </c>
      <c r="F67" s="227"/>
      <c r="G67" s="183">
        <f t="shared" si="2"/>
        <v>184.02690768512142</v>
      </c>
      <c r="H67" s="183">
        <f t="shared" si="3"/>
        <v>163.50558563895041</v>
      </c>
      <c r="I67" s="183">
        <f t="shared" si="4"/>
        <v>20.521322046171012</v>
      </c>
      <c r="J67" s="184">
        <f t="shared" si="5"/>
        <v>12149.287642063657</v>
      </c>
      <c r="K67" s="51">
        <f t="shared" si="9"/>
        <v>50</v>
      </c>
      <c r="L67" s="48"/>
    </row>
    <row r="68" spans="1:12" x14ac:dyDescent="0.25">
      <c r="A68" s="35">
        <f t="shared" si="6"/>
        <v>51</v>
      </c>
      <c r="B68" s="182">
        <f t="shared" si="7"/>
        <v>46447</v>
      </c>
      <c r="C68" s="183">
        <f t="shared" si="8"/>
        <v>12149.287642063657</v>
      </c>
      <c r="D68" s="183">
        <f t="shared" si="0"/>
        <v>184.02690768512142</v>
      </c>
      <c r="E68" s="183">
        <f t="shared" si="11"/>
        <v>0</v>
      </c>
      <c r="F68" s="227"/>
      <c r="G68" s="183">
        <f t="shared" si="2"/>
        <v>184.02690768512142</v>
      </c>
      <c r="H68" s="183">
        <f t="shared" si="3"/>
        <v>163.77809494834867</v>
      </c>
      <c r="I68" s="183">
        <f t="shared" si="4"/>
        <v>20.248812736772759</v>
      </c>
      <c r="J68" s="184">
        <f t="shared" si="5"/>
        <v>11985.509547115307</v>
      </c>
      <c r="K68" s="51">
        <f t="shared" si="9"/>
        <v>51</v>
      </c>
      <c r="L68" s="48"/>
    </row>
    <row r="69" spans="1:12" x14ac:dyDescent="0.25">
      <c r="A69" s="35">
        <f t="shared" si="6"/>
        <v>52</v>
      </c>
      <c r="B69" s="182">
        <f t="shared" si="7"/>
        <v>46478</v>
      </c>
      <c r="C69" s="183">
        <f t="shared" si="8"/>
        <v>11985.509547115307</v>
      </c>
      <c r="D69" s="183">
        <f t="shared" si="0"/>
        <v>184.02690768512142</v>
      </c>
      <c r="E69" s="183">
        <f t="shared" si="11"/>
        <v>0</v>
      </c>
      <c r="F69" s="227"/>
      <c r="G69" s="183">
        <f t="shared" si="2"/>
        <v>184.02690768512142</v>
      </c>
      <c r="H69" s="183">
        <f t="shared" si="3"/>
        <v>164.05105843992925</v>
      </c>
      <c r="I69" s="183">
        <f t="shared" si="4"/>
        <v>19.97584924519218</v>
      </c>
      <c r="J69" s="184">
        <f t="shared" si="5"/>
        <v>11821.458488675378</v>
      </c>
      <c r="K69" s="51">
        <f t="shared" si="9"/>
        <v>52</v>
      </c>
      <c r="L69" s="48"/>
    </row>
    <row r="70" spans="1:12" x14ac:dyDescent="0.25">
      <c r="A70" s="35">
        <f t="shared" si="6"/>
        <v>53</v>
      </c>
      <c r="B70" s="182">
        <f t="shared" si="7"/>
        <v>46508</v>
      </c>
      <c r="C70" s="183">
        <f t="shared" si="8"/>
        <v>11821.458488675378</v>
      </c>
      <c r="D70" s="183">
        <f t="shared" si="0"/>
        <v>184.02690768512142</v>
      </c>
      <c r="E70" s="183">
        <f t="shared" si="11"/>
        <v>0</v>
      </c>
      <c r="F70" s="227"/>
      <c r="G70" s="183">
        <f t="shared" si="2"/>
        <v>184.02690768512142</v>
      </c>
      <c r="H70" s="183">
        <f t="shared" si="3"/>
        <v>164.32447687066247</v>
      </c>
      <c r="I70" s="183">
        <f t="shared" si="4"/>
        <v>19.702430814458964</v>
      </c>
      <c r="J70" s="184">
        <f t="shared" si="5"/>
        <v>11657.134011804716</v>
      </c>
      <c r="K70" s="51">
        <f t="shared" si="9"/>
        <v>53</v>
      </c>
      <c r="L70" s="48"/>
    </row>
    <row r="71" spans="1:12" x14ac:dyDescent="0.25">
      <c r="A71" s="35">
        <f t="shared" si="6"/>
        <v>54</v>
      </c>
      <c r="B71" s="182">
        <f t="shared" si="7"/>
        <v>46539</v>
      </c>
      <c r="C71" s="183">
        <f t="shared" si="8"/>
        <v>11657.134011804716</v>
      </c>
      <c r="D71" s="183">
        <f t="shared" si="0"/>
        <v>184.02690768512142</v>
      </c>
      <c r="E71" s="183">
        <f t="shared" si="11"/>
        <v>0</v>
      </c>
      <c r="F71" s="227"/>
      <c r="G71" s="183">
        <f t="shared" si="2"/>
        <v>184.02690768512142</v>
      </c>
      <c r="H71" s="183">
        <f t="shared" si="3"/>
        <v>164.59835099878023</v>
      </c>
      <c r="I71" s="183">
        <f t="shared" si="4"/>
        <v>19.428556686341192</v>
      </c>
      <c r="J71" s="184">
        <f t="shared" si="5"/>
        <v>11492.535660805936</v>
      </c>
      <c r="K71" s="51">
        <f t="shared" si="9"/>
        <v>54</v>
      </c>
      <c r="L71" s="48"/>
    </row>
    <row r="72" spans="1:12" x14ac:dyDescent="0.25">
      <c r="A72" s="35">
        <f t="shared" si="6"/>
        <v>55</v>
      </c>
      <c r="B72" s="182">
        <f t="shared" si="7"/>
        <v>46569</v>
      </c>
      <c r="C72" s="183">
        <f t="shared" si="8"/>
        <v>11492.535660805936</v>
      </c>
      <c r="D72" s="183">
        <f t="shared" si="0"/>
        <v>184.02690768512142</v>
      </c>
      <c r="E72" s="183">
        <f t="shared" si="11"/>
        <v>0</v>
      </c>
      <c r="F72" s="227"/>
      <c r="G72" s="183">
        <f t="shared" si="2"/>
        <v>184.02690768512142</v>
      </c>
      <c r="H72" s="183">
        <f t="shared" si="3"/>
        <v>164.87268158377819</v>
      </c>
      <c r="I72" s="183">
        <f t="shared" si="4"/>
        <v>19.154226101343227</v>
      </c>
      <c r="J72" s="184">
        <f t="shared" si="5"/>
        <v>11327.662979222157</v>
      </c>
      <c r="K72" s="51">
        <f t="shared" si="9"/>
        <v>55</v>
      </c>
      <c r="L72" s="48"/>
    </row>
    <row r="73" spans="1:12" x14ac:dyDescent="0.25">
      <c r="A73" s="35">
        <f t="shared" si="6"/>
        <v>56</v>
      </c>
      <c r="B73" s="182">
        <f t="shared" si="7"/>
        <v>46600</v>
      </c>
      <c r="C73" s="183">
        <f t="shared" si="8"/>
        <v>11327.662979222157</v>
      </c>
      <c r="D73" s="183">
        <f t="shared" si="0"/>
        <v>184.02690768512142</v>
      </c>
      <c r="E73" s="183">
        <f t="shared" ref="E73:E81" si="12">IF(Pay_Num&lt;&gt;"",Scheduled_Extra_Payments,"")</f>
        <v>0</v>
      </c>
      <c r="F73" s="227"/>
      <c r="G73" s="183">
        <f t="shared" si="2"/>
        <v>184.02690768512142</v>
      </c>
      <c r="H73" s="183">
        <f t="shared" si="3"/>
        <v>165.14746938641781</v>
      </c>
      <c r="I73" s="183">
        <f t="shared" si="4"/>
        <v>18.879438298703594</v>
      </c>
      <c r="J73" s="184">
        <f t="shared" si="5"/>
        <v>11162.515509835739</v>
      </c>
      <c r="K73" s="51">
        <f t="shared" si="9"/>
        <v>56</v>
      </c>
      <c r="L73" s="48"/>
    </row>
    <row r="74" spans="1:12" x14ac:dyDescent="0.25">
      <c r="A74" s="35">
        <f t="shared" si="6"/>
        <v>57</v>
      </c>
      <c r="B74" s="182">
        <f t="shared" si="7"/>
        <v>46631</v>
      </c>
      <c r="C74" s="183">
        <f t="shared" si="8"/>
        <v>11162.515509835739</v>
      </c>
      <c r="D74" s="183">
        <f t="shared" si="0"/>
        <v>184.02690768512142</v>
      </c>
      <c r="E74" s="183">
        <f t="shared" si="12"/>
        <v>0</v>
      </c>
      <c r="F74" s="227"/>
      <c r="G74" s="183">
        <f t="shared" si="2"/>
        <v>184.02690768512142</v>
      </c>
      <c r="H74" s="183">
        <f t="shared" si="3"/>
        <v>165.42271516872853</v>
      </c>
      <c r="I74" s="183">
        <f t="shared" si="4"/>
        <v>18.604192516392899</v>
      </c>
      <c r="J74" s="184">
        <f t="shared" si="5"/>
        <v>10997.092794667011</v>
      </c>
      <c r="K74" s="51">
        <f t="shared" si="9"/>
        <v>57</v>
      </c>
      <c r="L74" s="48"/>
    </row>
    <row r="75" spans="1:12" x14ac:dyDescent="0.25">
      <c r="A75" s="35">
        <f t="shared" si="6"/>
        <v>58</v>
      </c>
      <c r="B75" s="182">
        <f t="shared" si="7"/>
        <v>46661</v>
      </c>
      <c r="C75" s="183">
        <f t="shared" si="8"/>
        <v>10997.092794667011</v>
      </c>
      <c r="D75" s="183">
        <f t="shared" si="0"/>
        <v>184.02690768512142</v>
      </c>
      <c r="E75" s="183">
        <f t="shared" si="12"/>
        <v>0</v>
      </c>
      <c r="F75" s="227"/>
      <c r="G75" s="183">
        <f t="shared" si="2"/>
        <v>184.02690768512142</v>
      </c>
      <c r="H75" s="183">
        <f t="shared" si="3"/>
        <v>165.69841969400971</v>
      </c>
      <c r="I75" s="183">
        <f t="shared" si="4"/>
        <v>18.328487991111686</v>
      </c>
      <c r="J75" s="184">
        <f t="shared" si="5"/>
        <v>10831.394374973001</v>
      </c>
      <c r="K75" s="51">
        <f t="shared" si="9"/>
        <v>58</v>
      </c>
      <c r="L75" s="48"/>
    </row>
    <row r="76" spans="1:12" x14ac:dyDescent="0.25">
      <c r="A76" s="35">
        <f t="shared" si="6"/>
        <v>59</v>
      </c>
      <c r="B76" s="182">
        <f t="shared" si="7"/>
        <v>46692</v>
      </c>
      <c r="C76" s="183">
        <f t="shared" si="8"/>
        <v>10831.394374973001</v>
      </c>
      <c r="D76" s="183">
        <f t="shared" si="0"/>
        <v>184.02690768512142</v>
      </c>
      <c r="E76" s="183">
        <f t="shared" si="12"/>
        <v>0</v>
      </c>
      <c r="F76" s="227"/>
      <c r="G76" s="183">
        <f t="shared" si="2"/>
        <v>184.02690768512142</v>
      </c>
      <c r="H76" s="183">
        <f t="shared" si="3"/>
        <v>165.97458372683309</v>
      </c>
      <c r="I76" s="183">
        <f t="shared" si="4"/>
        <v>18.052323958288337</v>
      </c>
      <c r="J76" s="184">
        <f t="shared" si="5"/>
        <v>10665.419791246168</v>
      </c>
      <c r="K76" s="51">
        <f t="shared" si="9"/>
        <v>59</v>
      </c>
      <c r="L76" s="48"/>
    </row>
    <row r="77" spans="1:12" x14ac:dyDescent="0.25">
      <c r="A77" s="35">
        <f t="shared" si="6"/>
        <v>60</v>
      </c>
      <c r="B77" s="182">
        <f t="shared" si="7"/>
        <v>46722</v>
      </c>
      <c r="C77" s="183">
        <f t="shared" si="8"/>
        <v>10665.419791246168</v>
      </c>
      <c r="D77" s="183">
        <f t="shared" si="0"/>
        <v>184.02690768512142</v>
      </c>
      <c r="E77" s="183">
        <f t="shared" si="12"/>
        <v>0</v>
      </c>
      <c r="F77" s="227"/>
      <c r="G77" s="183">
        <f t="shared" si="2"/>
        <v>184.02690768512142</v>
      </c>
      <c r="H77" s="183">
        <f t="shared" si="3"/>
        <v>166.25120803304446</v>
      </c>
      <c r="I77" s="183">
        <f t="shared" si="4"/>
        <v>17.775699652076948</v>
      </c>
      <c r="J77" s="184">
        <f t="shared" si="5"/>
        <v>10499.168583213122</v>
      </c>
      <c r="K77" s="51">
        <f t="shared" si="9"/>
        <v>60</v>
      </c>
      <c r="L77" s="48"/>
    </row>
    <row r="78" spans="1:12" x14ac:dyDescent="0.25">
      <c r="A78" s="35">
        <f t="shared" si="6"/>
        <v>61</v>
      </c>
      <c r="B78" s="182">
        <f t="shared" si="7"/>
        <v>46753</v>
      </c>
      <c r="C78" s="183">
        <f t="shared" si="8"/>
        <v>10499.168583213122</v>
      </c>
      <c r="D78" s="183">
        <f t="shared" si="0"/>
        <v>184.02690768512142</v>
      </c>
      <c r="E78" s="183">
        <f t="shared" si="12"/>
        <v>0</v>
      </c>
      <c r="F78" s="227"/>
      <c r="G78" s="183">
        <f t="shared" si="2"/>
        <v>184.02690768512142</v>
      </c>
      <c r="H78" s="183">
        <f t="shared" si="3"/>
        <v>166.52829337976621</v>
      </c>
      <c r="I78" s="183">
        <f t="shared" si="4"/>
        <v>17.498614305355204</v>
      </c>
      <c r="J78" s="184">
        <f t="shared" si="5"/>
        <v>10332.640289833356</v>
      </c>
      <c r="K78" s="51">
        <f t="shared" si="9"/>
        <v>61</v>
      </c>
      <c r="L78" s="48"/>
    </row>
    <row r="79" spans="1:12" x14ac:dyDescent="0.25">
      <c r="A79" s="35">
        <f t="shared" si="6"/>
        <v>62</v>
      </c>
      <c r="B79" s="182">
        <f t="shared" si="7"/>
        <v>46784</v>
      </c>
      <c r="C79" s="183">
        <f t="shared" si="8"/>
        <v>10332.640289833356</v>
      </c>
      <c r="D79" s="183">
        <f t="shared" si="0"/>
        <v>184.02690768512142</v>
      </c>
      <c r="E79" s="183">
        <f t="shared" si="12"/>
        <v>0</v>
      </c>
      <c r="F79" s="227"/>
      <c r="G79" s="183">
        <f t="shared" si="2"/>
        <v>184.02690768512142</v>
      </c>
      <c r="H79" s="183">
        <f t="shared" si="3"/>
        <v>166.80584053539914</v>
      </c>
      <c r="I79" s="183">
        <f t="shared" si="4"/>
        <v>17.221067149722263</v>
      </c>
      <c r="J79" s="184">
        <f t="shared" si="5"/>
        <v>10165.834449297958</v>
      </c>
      <c r="K79" s="51">
        <f t="shared" si="9"/>
        <v>62</v>
      </c>
      <c r="L79" s="48"/>
    </row>
    <row r="80" spans="1:12" x14ac:dyDescent="0.25">
      <c r="A80" s="35">
        <f t="shared" si="6"/>
        <v>63</v>
      </c>
      <c r="B80" s="182">
        <f t="shared" si="7"/>
        <v>46813</v>
      </c>
      <c r="C80" s="183">
        <f t="shared" si="8"/>
        <v>10165.834449297958</v>
      </c>
      <c r="D80" s="183">
        <f t="shared" si="0"/>
        <v>184.02690768512142</v>
      </c>
      <c r="E80" s="183">
        <f t="shared" si="12"/>
        <v>0</v>
      </c>
      <c r="F80" s="227"/>
      <c r="G80" s="183">
        <f t="shared" si="2"/>
        <v>184.02690768512142</v>
      </c>
      <c r="H80" s="183">
        <f t="shared" si="3"/>
        <v>167.0838502696248</v>
      </c>
      <c r="I80" s="183">
        <f t="shared" si="4"/>
        <v>16.943057415496597</v>
      </c>
      <c r="J80" s="184">
        <f t="shared" si="5"/>
        <v>9998.7505990283335</v>
      </c>
      <c r="K80" s="51">
        <f t="shared" si="9"/>
        <v>63</v>
      </c>
      <c r="L80" s="48"/>
    </row>
    <row r="81" spans="1:12" x14ac:dyDescent="0.25">
      <c r="A81" s="35">
        <f t="shared" si="6"/>
        <v>64</v>
      </c>
      <c r="B81" s="182">
        <f t="shared" si="7"/>
        <v>46844</v>
      </c>
      <c r="C81" s="183">
        <f t="shared" si="8"/>
        <v>9998.7505990283335</v>
      </c>
      <c r="D81" s="183">
        <f t="shared" si="0"/>
        <v>184.02690768512142</v>
      </c>
      <c r="E81" s="183">
        <f t="shared" si="12"/>
        <v>0</v>
      </c>
      <c r="F81" s="227"/>
      <c r="G81" s="183">
        <f t="shared" si="2"/>
        <v>184.02690768512142</v>
      </c>
      <c r="H81" s="183">
        <f t="shared" si="3"/>
        <v>167.36232335340753</v>
      </c>
      <c r="I81" s="183">
        <f t="shared" si="4"/>
        <v>16.66458433171389</v>
      </c>
      <c r="J81" s="184">
        <f t="shared" si="5"/>
        <v>9831.3882756749263</v>
      </c>
      <c r="K81" s="51">
        <f t="shared" si="9"/>
        <v>64</v>
      </c>
      <c r="L81" s="48"/>
    </row>
    <row r="82" spans="1:12" x14ac:dyDescent="0.25">
      <c r="A82" s="35">
        <f t="shared" si="6"/>
        <v>65</v>
      </c>
      <c r="B82" s="182">
        <f t="shared" si="7"/>
        <v>46874</v>
      </c>
      <c r="C82" s="183">
        <f t="shared" si="8"/>
        <v>9831.3882756749263</v>
      </c>
      <c r="D82" s="183">
        <f t="shared" ref="D82:D145" si="13">IF(Pay_Num&lt;&gt;"",Scheduled_Monthly_Payment,"")</f>
        <v>184.02690768512142</v>
      </c>
      <c r="E82" s="183">
        <f t="shared" ref="E82:E145" si="14">IF(Pay_Num&lt;&gt;"",Scheduled_Extra_Payments,"")</f>
        <v>0</v>
      </c>
      <c r="F82" s="227"/>
      <c r="G82" s="183">
        <f t="shared" ref="G82:G145" si="15">IF(Pay_Num&lt;&gt;"",Sched_Pay+Extra_Pay,"")+F82</f>
        <v>184.02690768512142</v>
      </c>
      <c r="H82" s="183">
        <f t="shared" ref="H82:H145" si="16">IF(Pay_Num&lt;&gt;"",Total_Pay-Int,"")</f>
        <v>167.64126055899655</v>
      </c>
      <c r="I82" s="183">
        <f t="shared" ref="I82:I145" si="17">IF(Pay_Num&lt;&gt;"",Beg_Bal*Interest_Rate/12,"")</f>
        <v>16.385647126124876</v>
      </c>
      <c r="J82" s="184">
        <f t="shared" ref="J82:J145" si="18">IF(Pay_Num&lt;&gt;"",Beg_Bal-Princ,"")</f>
        <v>9663.7470151159305</v>
      </c>
      <c r="K82" s="51">
        <f t="shared" si="9"/>
        <v>65</v>
      </c>
      <c r="L82" s="48"/>
    </row>
    <row r="83" spans="1:12" x14ac:dyDescent="0.25">
      <c r="A83" s="35">
        <f t="shared" ref="A83:A146" si="19">IF(Values_Entered,A82+1,"")</f>
        <v>66</v>
      </c>
      <c r="B83" s="182">
        <f t="shared" ref="B83:B146" si="20">IF(Pay_Num&lt;&gt;"",DATE(YEAR(B82),MONTH(B82)+1,DAY(B82)),"")</f>
        <v>46905</v>
      </c>
      <c r="C83" s="183">
        <f t="shared" ref="C83:C146" si="21">IF(Pay_Num&lt;&gt;"",J82,"")</f>
        <v>9663.7470151159305</v>
      </c>
      <c r="D83" s="183">
        <f t="shared" si="13"/>
        <v>184.02690768512142</v>
      </c>
      <c r="E83" s="183">
        <f t="shared" si="14"/>
        <v>0</v>
      </c>
      <c r="F83" s="227"/>
      <c r="G83" s="183">
        <f t="shared" si="15"/>
        <v>184.02690768512142</v>
      </c>
      <c r="H83" s="183">
        <f t="shared" si="16"/>
        <v>167.92066265992821</v>
      </c>
      <c r="I83" s="183">
        <f t="shared" si="17"/>
        <v>16.106245025193218</v>
      </c>
      <c r="J83" s="184">
        <f t="shared" si="18"/>
        <v>9495.8263524560025</v>
      </c>
      <c r="K83" s="51">
        <f t="shared" ref="K83:K146" si="22">IF(A83&gt;$D$13,"",K82+1)</f>
        <v>66</v>
      </c>
      <c r="L83" s="48"/>
    </row>
    <row r="84" spans="1:12" x14ac:dyDescent="0.25">
      <c r="A84" s="35">
        <f t="shared" si="19"/>
        <v>67</v>
      </c>
      <c r="B84" s="182">
        <f t="shared" si="20"/>
        <v>46935</v>
      </c>
      <c r="C84" s="183">
        <f t="shared" si="21"/>
        <v>9495.8263524560025</v>
      </c>
      <c r="D84" s="183">
        <f t="shared" si="13"/>
        <v>184.02690768512142</v>
      </c>
      <c r="E84" s="183">
        <f t="shared" si="14"/>
        <v>0</v>
      </c>
      <c r="F84" s="227"/>
      <c r="G84" s="183">
        <f t="shared" si="15"/>
        <v>184.02690768512142</v>
      </c>
      <c r="H84" s="183">
        <f t="shared" si="16"/>
        <v>168.20053043102808</v>
      </c>
      <c r="I84" s="183">
        <f t="shared" si="17"/>
        <v>15.826377254093337</v>
      </c>
      <c r="J84" s="184">
        <f t="shared" si="18"/>
        <v>9327.6258220249747</v>
      </c>
      <c r="K84" s="51">
        <f t="shared" si="22"/>
        <v>67</v>
      </c>
      <c r="L84" s="48"/>
    </row>
    <row r="85" spans="1:12" x14ac:dyDescent="0.25">
      <c r="A85" s="35">
        <f t="shared" si="19"/>
        <v>68</v>
      </c>
      <c r="B85" s="182">
        <f t="shared" si="20"/>
        <v>46966</v>
      </c>
      <c r="C85" s="183">
        <f t="shared" si="21"/>
        <v>9327.6258220249747</v>
      </c>
      <c r="D85" s="183">
        <f t="shared" si="13"/>
        <v>184.02690768512142</v>
      </c>
      <c r="E85" s="183">
        <f t="shared" si="14"/>
        <v>0</v>
      </c>
      <c r="F85" s="227"/>
      <c r="G85" s="183">
        <f t="shared" si="15"/>
        <v>184.02690768512142</v>
      </c>
      <c r="H85" s="183">
        <f t="shared" si="16"/>
        <v>168.48086464841313</v>
      </c>
      <c r="I85" s="183">
        <f t="shared" si="17"/>
        <v>15.546043036708291</v>
      </c>
      <c r="J85" s="184">
        <f t="shared" si="18"/>
        <v>9159.1449573765622</v>
      </c>
      <c r="K85" s="51">
        <f t="shared" si="22"/>
        <v>68</v>
      </c>
      <c r="L85" s="48"/>
    </row>
    <row r="86" spans="1:12" x14ac:dyDescent="0.25">
      <c r="A86" s="35">
        <f t="shared" si="19"/>
        <v>69</v>
      </c>
      <c r="B86" s="182">
        <f t="shared" si="20"/>
        <v>46997</v>
      </c>
      <c r="C86" s="183">
        <f t="shared" si="21"/>
        <v>9159.1449573765622</v>
      </c>
      <c r="D86" s="183">
        <f t="shared" si="13"/>
        <v>184.02690768512142</v>
      </c>
      <c r="E86" s="183">
        <f t="shared" si="14"/>
        <v>0</v>
      </c>
      <c r="F86" s="227"/>
      <c r="G86" s="183">
        <f t="shared" si="15"/>
        <v>184.02690768512142</v>
      </c>
      <c r="H86" s="183">
        <f t="shared" si="16"/>
        <v>168.76166608949381</v>
      </c>
      <c r="I86" s="183">
        <f t="shared" si="17"/>
        <v>15.265241595627606</v>
      </c>
      <c r="J86" s="184">
        <f t="shared" si="18"/>
        <v>8990.3832912870676</v>
      </c>
      <c r="K86" s="51">
        <f t="shared" si="22"/>
        <v>69</v>
      </c>
      <c r="L86" s="48"/>
    </row>
    <row r="87" spans="1:12" x14ac:dyDescent="0.25">
      <c r="A87" s="35">
        <f t="shared" si="19"/>
        <v>70</v>
      </c>
      <c r="B87" s="182">
        <f t="shared" si="20"/>
        <v>47027</v>
      </c>
      <c r="C87" s="183">
        <f t="shared" si="21"/>
        <v>8990.3832912870676</v>
      </c>
      <c r="D87" s="183">
        <f t="shared" si="13"/>
        <v>184.02690768512142</v>
      </c>
      <c r="E87" s="183">
        <f t="shared" si="14"/>
        <v>0</v>
      </c>
      <c r="F87" s="227"/>
      <c r="G87" s="183">
        <f t="shared" si="15"/>
        <v>184.02690768512142</v>
      </c>
      <c r="H87" s="183">
        <f t="shared" si="16"/>
        <v>169.04293553297629</v>
      </c>
      <c r="I87" s="183">
        <f t="shared" si="17"/>
        <v>14.983972152145114</v>
      </c>
      <c r="J87" s="184">
        <f t="shared" si="18"/>
        <v>8821.3403557540914</v>
      </c>
      <c r="K87" s="51">
        <f t="shared" si="22"/>
        <v>70</v>
      </c>
      <c r="L87" s="48"/>
    </row>
    <row r="88" spans="1:12" x14ac:dyDescent="0.25">
      <c r="A88" s="35">
        <f t="shared" si="19"/>
        <v>71</v>
      </c>
      <c r="B88" s="182">
        <f t="shared" si="20"/>
        <v>47058</v>
      </c>
      <c r="C88" s="183">
        <f t="shared" si="21"/>
        <v>8821.3403557540914</v>
      </c>
      <c r="D88" s="183">
        <f t="shared" si="13"/>
        <v>184.02690768512142</v>
      </c>
      <c r="E88" s="183">
        <f t="shared" si="14"/>
        <v>0</v>
      </c>
      <c r="F88" s="227"/>
      <c r="G88" s="183">
        <f t="shared" si="15"/>
        <v>184.02690768512142</v>
      </c>
      <c r="H88" s="183">
        <f t="shared" si="16"/>
        <v>169.32467375886461</v>
      </c>
      <c r="I88" s="183">
        <f t="shared" si="17"/>
        <v>14.702233926256818</v>
      </c>
      <c r="J88" s="184">
        <f t="shared" si="18"/>
        <v>8652.0156819952263</v>
      </c>
      <c r="K88" s="51">
        <f t="shared" si="22"/>
        <v>71</v>
      </c>
      <c r="L88" s="48"/>
    </row>
    <row r="89" spans="1:12" x14ac:dyDescent="0.25">
      <c r="A89" s="35">
        <f t="shared" si="19"/>
        <v>72</v>
      </c>
      <c r="B89" s="182">
        <f t="shared" si="20"/>
        <v>47088</v>
      </c>
      <c r="C89" s="183">
        <f t="shared" si="21"/>
        <v>8652.0156819952263</v>
      </c>
      <c r="D89" s="183">
        <f t="shared" si="13"/>
        <v>184.02690768512142</v>
      </c>
      <c r="E89" s="183">
        <f t="shared" si="14"/>
        <v>0</v>
      </c>
      <c r="F89" s="227"/>
      <c r="G89" s="183">
        <f t="shared" si="15"/>
        <v>184.02690768512142</v>
      </c>
      <c r="H89" s="183">
        <f t="shared" si="16"/>
        <v>169.6068815484627</v>
      </c>
      <c r="I89" s="183">
        <f t="shared" si="17"/>
        <v>14.420026136658711</v>
      </c>
      <c r="J89" s="184">
        <f t="shared" si="18"/>
        <v>8482.4088004467631</v>
      </c>
      <c r="K89" s="51">
        <f t="shared" si="22"/>
        <v>72</v>
      </c>
      <c r="L89" s="48"/>
    </row>
    <row r="90" spans="1:12" x14ac:dyDescent="0.25">
      <c r="A90" s="35">
        <f t="shared" si="19"/>
        <v>73</v>
      </c>
      <c r="B90" s="182">
        <f t="shared" si="20"/>
        <v>47119</v>
      </c>
      <c r="C90" s="183">
        <f t="shared" si="21"/>
        <v>8482.4088004467631</v>
      </c>
      <c r="D90" s="183">
        <f t="shared" si="13"/>
        <v>184.02690768512142</v>
      </c>
      <c r="E90" s="183">
        <f t="shared" si="14"/>
        <v>0</v>
      </c>
      <c r="F90" s="227"/>
      <c r="G90" s="183">
        <f t="shared" si="15"/>
        <v>184.02690768512142</v>
      </c>
      <c r="H90" s="183">
        <f t="shared" si="16"/>
        <v>169.88955968437682</v>
      </c>
      <c r="I90" s="183">
        <f t="shared" si="17"/>
        <v>14.137348000744604</v>
      </c>
      <c r="J90" s="184">
        <f t="shared" si="18"/>
        <v>8312.5192407623854</v>
      </c>
      <c r="K90" s="51">
        <f t="shared" si="22"/>
        <v>73</v>
      </c>
      <c r="L90" s="48"/>
    </row>
    <row r="91" spans="1:12" x14ac:dyDescent="0.25">
      <c r="A91" s="35">
        <f t="shared" si="19"/>
        <v>74</v>
      </c>
      <c r="B91" s="182">
        <f t="shared" si="20"/>
        <v>47150</v>
      </c>
      <c r="C91" s="183">
        <f t="shared" si="21"/>
        <v>8312.5192407623854</v>
      </c>
      <c r="D91" s="183">
        <f t="shared" si="13"/>
        <v>184.02690768512142</v>
      </c>
      <c r="E91" s="183">
        <f t="shared" si="14"/>
        <v>0</v>
      </c>
      <c r="F91" s="227"/>
      <c r="G91" s="183">
        <f t="shared" si="15"/>
        <v>184.02690768512142</v>
      </c>
      <c r="H91" s="183">
        <f t="shared" si="16"/>
        <v>170.17270895051743</v>
      </c>
      <c r="I91" s="183">
        <f t="shared" si="17"/>
        <v>13.854198734603976</v>
      </c>
      <c r="J91" s="184">
        <f t="shared" si="18"/>
        <v>8142.3465318118679</v>
      </c>
      <c r="K91" s="51">
        <f t="shared" si="22"/>
        <v>74</v>
      </c>
      <c r="L91" s="48"/>
    </row>
    <row r="92" spans="1:12" x14ac:dyDescent="0.25">
      <c r="A92" s="35">
        <f t="shared" si="19"/>
        <v>75</v>
      </c>
      <c r="B92" s="182">
        <f t="shared" si="20"/>
        <v>47178</v>
      </c>
      <c r="C92" s="183">
        <f t="shared" si="21"/>
        <v>8142.3465318118679</v>
      </c>
      <c r="D92" s="183">
        <f t="shared" si="13"/>
        <v>184.02690768512142</v>
      </c>
      <c r="E92" s="183">
        <f t="shared" si="14"/>
        <v>0</v>
      </c>
      <c r="F92" s="227"/>
      <c r="G92" s="183">
        <f t="shared" si="15"/>
        <v>184.02690768512142</v>
      </c>
      <c r="H92" s="183">
        <f t="shared" si="16"/>
        <v>170.45633013210164</v>
      </c>
      <c r="I92" s="183">
        <f t="shared" si="17"/>
        <v>13.570577553019781</v>
      </c>
      <c r="J92" s="184">
        <f t="shared" si="18"/>
        <v>7971.8902016797665</v>
      </c>
      <c r="K92" s="51">
        <f t="shared" si="22"/>
        <v>75</v>
      </c>
      <c r="L92" s="48"/>
    </row>
    <row r="93" spans="1:12" x14ac:dyDescent="0.25">
      <c r="A93" s="35">
        <f t="shared" si="19"/>
        <v>76</v>
      </c>
      <c r="B93" s="182">
        <f t="shared" si="20"/>
        <v>47209</v>
      </c>
      <c r="C93" s="183">
        <f t="shared" si="21"/>
        <v>7971.8902016797665</v>
      </c>
      <c r="D93" s="183">
        <f t="shared" si="13"/>
        <v>184.02690768512142</v>
      </c>
      <c r="E93" s="183">
        <f t="shared" si="14"/>
        <v>0</v>
      </c>
      <c r="F93" s="227"/>
      <c r="G93" s="183">
        <f t="shared" si="15"/>
        <v>184.02690768512142</v>
      </c>
      <c r="H93" s="183">
        <f t="shared" si="16"/>
        <v>170.74042401565515</v>
      </c>
      <c r="I93" s="183">
        <f t="shared" si="17"/>
        <v>13.286483669466278</v>
      </c>
      <c r="J93" s="184">
        <f t="shared" si="18"/>
        <v>7801.1497776641118</v>
      </c>
      <c r="K93" s="51">
        <f t="shared" si="22"/>
        <v>76</v>
      </c>
      <c r="L93" s="48"/>
    </row>
    <row r="94" spans="1:12" x14ac:dyDescent="0.25">
      <c r="A94" s="35">
        <f t="shared" si="19"/>
        <v>77</v>
      </c>
      <c r="B94" s="182">
        <f t="shared" si="20"/>
        <v>47239</v>
      </c>
      <c r="C94" s="183">
        <f t="shared" si="21"/>
        <v>7801.1497776641118</v>
      </c>
      <c r="D94" s="183">
        <f t="shared" si="13"/>
        <v>184.02690768512142</v>
      </c>
      <c r="E94" s="183">
        <f t="shared" si="14"/>
        <v>0</v>
      </c>
      <c r="F94" s="227"/>
      <c r="G94" s="183">
        <f t="shared" si="15"/>
        <v>184.02690768512142</v>
      </c>
      <c r="H94" s="183">
        <f t="shared" si="16"/>
        <v>171.02499138901456</v>
      </c>
      <c r="I94" s="183">
        <f t="shared" si="17"/>
        <v>13.001916296106854</v>
      </c>
      <c r="J94" s="184">
        <f t="shared" si="18"/>
        <v>7630.124786275097</v>
      </c>
      <c r="K94" s="51">
        <f t="shared" si="22"/>
        <v>77</v>
      </c>
      <c r="L94" s="48"/>
    </row>
    <row r="95" spans="1:12" x14ac:dyDescent="0.25">
      <c r="A95" s="35">
        <f t="shared" si="19"/>
        <v>78</v>
      </c>
      <c r="B95" s="182">
        <f t="shared" si="20"/>
        <v>47270</v>
      </c>
      <c r="C95" s="183">
        <f t="shared" si="21"/>
        <v>7630.124786275097</v>
      </c>
      <c r="D95" s="183">
        <f t="shared" si="13"/>
        <v>184.02690768512142</v>
      </c>
      <c r="E95" s="183">
        <f t="shared" si="14"/>
        <v>0</v>
      </c>
      <c r="F95" s="227"/>
      <c r="G95" s="183">
        <f t="shared" si="15"/>
        <v>184.02690768512142</v>
      </c>
      <c r="H95" s="183">
        <f t="shared" si="16"/>
        <v>171.31003304132958</v>
      </c>
      <c r="I95" s="183">
        <f t="shared" si="17"/>
        <v>12.716874643791828</v>
      </c>
      <c r="J95" s="184">
        <f t="shared" si="18"/>
        <v>7458.8147532337671</v>
      </c>
      <c r="K95" s="51">
        <f t="shared" si="22"/>
        <v>78</v>
      </c>
      <c r="L95" s="48"/>
    </row>
    <row r="96" spans="1:12" x14ac:dyDescent="0.25">
      <c r="A96" s="35">
        <f t="shared" si="19"/>
        <v>79</v>
      </c>
      <c r="B96" s="182">
        <f t="shared" si="20"/>
        <v>47300</v>
      </c>
      <c r="C96" s="183">
        <f t="shared" si="21"/>
        <v>7458.8147532337671</v>
      </c>
      <c r="D96" s="183">
        <f t="shared" si="13"/>
        <v>184.02690768512142</v>
      </c>
      <c r="E96" s="183">
        <f t="shared" si="14"/>
        <v>0</v>
      </c>
      <c r="F96" s="227"/>
      <c r="G96" s="183">
        <f t="shared" si="15"/>
        <v>184.02690768512142</v>
      </c>
      <c r="H96" s="183">
        <f t="shared" si="16"/>
        <v>171.59554976306515</v>
      </c>
      <c r="I96" s="183">
        <f t="shared" si="17"/>
        <v>12.431357922056279</v>
      </c>
      <c r="J96" s="184">
        <f t="shared" si="18"/>
        <v>7287.2192034707023</v>
      </c>
      <c r="K96" s="51">
        <f t="shared" si="22"/>
        <v>79</v>
      </c>
      <c r="L96" s="48"/>
    </row>
    <row r="97" spans="1:12" x14ac:dyDescent="0.25">
      <c r="A97" s="35">
        <f t="shared" si="19"/>
        <v>80</v>
      </c>
      <c r="B97" s="182">
        <f t="shared" si="20"/>
        <v>47331</v>
      </c>
      <c r="C97" s="183">
        <f t="shared" si="21"/>
        <v>7287.2192034707023</v>
      </c>
      <c r="D97" s="183">
        <f t="shared" si="13"/>
        <v>184.02690768512142</v>
      </c>
      <c r="E97" s="183">
        <f t="shared" si="14"/>
        <v>0</v>
      </c>
      <c r="F97" s="227"/>
      <c r="G97" s="183">
        <f t="shared" si="15"/>
        <v>184.02690768512142</v>
      </c>
      <c r="H97" s="183">
        <f t="shared" si="16"/>
        <v>171.88154234600358</v>
      </c>
      <c r="I97" s="183">
        <f t="shared" si="17"/>
        <v>12.145365339117838</v>
      </c>
      <c r="J97" s="184">
        <f t="shared" si="18"/>
        <v>7115.3376611246986</v>
      </c>
      <c r="K97" s="51">
        <f t="shared" si="22"/>
        <v>80</v>
      </c>
      <c r="L97" s="48"/>
    </row>
    <row r="98" spans="1:12" x14ac:dyDescent="0.25">
      <c r="A98" s="35">
        <f t="shared" si="19"/>
        <v>81</v>
      </c>
      <c r="B98" s="182">
        <f t="shared" si="20"/>
        <v>47362</v>
      </c>
      <c r="C98" s="183">
        <f t="shared" si="21"/>
        <v>7115.3376611246986</v>
      </c>
      <c r="D98" s="183">
        <f t="shared" si="13"/>
        <v>184.02690768512142</v>
      </c>
      <c r="E98" s="183">
        <f t="shared" si="14"/>
        <v>0</v>
      </c>
      <c r="F98" s="227"/>
      <c r="G98" s="183">
        <f t="shared" si="15"/>
        <v>184.02690768512142</v>
      </c>
      <c r="H98" s="183">
        <f t="shared" si="16"/>
        <v>172.16801158324691</v>
      </c>
      <c r="I98" s="183">
        <f t="shared" si="17"/>
        <v>11.858896101874498</v>
      </c>
      <c r="J98" s="184">
        <f t="shared" si="18"/>
        <v>6943.1696495414517</v>
      </c>
      <c r="K98" s="51">
        <f t="shared" si="22"/>
        <v>81</v>
      </c>
      <c r="L98" s="48"/>
    </row>
    <row r="99" spans="1:12" x14ac:dyDescent="0.25">
      <c r="A99" s="35">
        <f t="shared" si="19"/>
        <v>82</v>
      </c>
      <c r="B99" s="182">
        <f t="shared" si="20"/>
        <v>47392</v>
      </c>
      <c r="C99" s="183">
        <f t="shared" si="21"/>
        <v>6943.1696495414517</v>
      </c>
      <c r="D99" s="183">
        <f t="shared" si="13"/>
        <v>184.02690768512142</v>
      </c>
      <c r="E99" s="183">
        <f t="shared" si="14"/>
        <v>0</v>
      </c>
      <c r="F99" s="227"/>
      <c r="G99" s="183">
        <f t="shared" si="15"/>
        <v>184.02690768512142</v>
      </c>
      <c r="H99" s="183">
        <f t="shared" si="16"/>
        <v>172.45495826921899</v>
      </c>
      <c r="I99" s="183">
        <f t="shared" si="17"/>
        <v>11.571949415902418</v>
      </c>
      <c r="J99" s="184">
        <f t="shared" si="18"/>
        <v>6770.7146912722328</v>
      </c>
      <c r="K99" s="51">
        <f t="shared" si="22"/>
        <v>82</v>
      </c>
      <c r="L99" s="48"/>
    </row>
    <row r="100" spans="1:12" x14ac:dyDescent="0.25">
      <c r="A100" s="35">
        <f t="shared" si="19"/>
        <v>83</v>
      </c>
      <c r="B100" s="182">
        <f t="shared" si="20"/>
        <v>47423</v>
      </c>
      <c r="C100" s="183">
        <f t="shared" si="21"/>
        <v>6770.7146912722328</v>
      </c>
      <c r="D100" s="183">
        <f t="shared" si="13"/>
        <v>184.02690768512142</v>
      </c>
      <c r="E100" s="183">
        <f t="shared" si="14"/>
        <v>0</v>
      </c>
      <c r="F100" s="227"/>
      <c r="G100" s="183">
        <f t="shared" si="15"/>
        <v>184.02690768512142</v>
      </c>
      <c r="H100" s="183">
        <f t="shared" si="16"/>
        <v>172.7423831996677</v>
      </c>
      <c r="I100" s="183">
        <f t="shared" si="17"/>
        <v>11.284524485453721</v>
      </c>
      <c r="J100" s="184">
        <f t="shared" si="18"/>
        <v>6597.9723080725653</v>
      </c>
      <c r="K100" s="51">
        <f t="shared" si="22"/>
        <v>83</v>
      </c>
      <c r="L100" s="48"/>
    </row>
    <row r="101" spans="1:12" x14ac:dyDescent="0.25">
      <c r="A101" s="35">
        <f t="shared" si="19"/>
        <v>84</v>
      </c>
      <c r="B101" s="182">
        <f t="shared" si="20"/>
        <v>47453</v>
      </c>
      <c r="C101" s="183">
        <f t="shared" si="21"/>
        <v>6597.9723080725653</v>
      </c>
      <c r="D101" s="183">
        <f t="shared" si="13"/>
        <v>184.02690768512142</v>
      </c>
      <c r="E101" s="183">
        <f t="shared" si="14"/>
        <v>0</v>
      </c>
      <c r="F101" s="227"/>
      <c r="G101" s="183">
        <f t="shared" si="15"/>
        <v>184.02690768512142</v>
      </c>
      <c r="H101" s="183">
        <f t="shared" si="16"/>
        <v>173.03028717166714</v>
      </c>
      <c r="I101" s="183">
        <f t="shared" si="17"/>
        <v>10.996620513454275</v>
      </c>
      <c r="J101" s="184">
        <f t="shared" si="18"/>
        <v>6424.9420209008986</v>
      </c>
      <c r="K101" s="51">
        <f t="shared" si="22"/>
        <v>84</v>
      </c>
      <c r="L101" s="48"/>
    </row>
    <row r="102" spans="1:12" x14ac:dyDescent="0.25">
      <c r="A102" s="35">
        <f t="shared" si="19"/>
        <v>85</v>
      </c>
      <c r="B102" s="182">
        <f t="shared" si="20"/>
        <v>47484</v>
      </c>
      <c r="C102" s="183">
        <f t="shared" si="21"/>
        <v>6424.9420209008986</v>
      </c>
      <c r="D102" s="183">
        <f t="shared" si="13"/>
        <v>184.02690768512142</v>
      </c>
      <c r="E102" s="183">
        <f t="shared" si="14"/>
        <v>0</v>
      </c>
      <c r="F102" s="227"/>
      <c r="G102" s="183">
        <f t="shared" si="15"/>
        <v>184.02690768512142</v>
      </c>
      <c r="H102" s="183">
        <f t="shared" si="16"/>
        <v>173.31867098361991</v>
      </c>
      <c r="I102" s="183">
        <f t="shared" si="17"/>
        <v>10.708236701501498</v>
      </c>
      <c r="J102" s="184">
        <f t="shared" si="18"/>
        <v>6251.6233499172786</v>
      </c>
      <c r="K102" s="51">
        <f t="shared" si="22"/>
        <v>85</v>
      </c>
      <c r="L102" s="48"/>
    </row>
    <row r="103" spans="1:12" x14ac:dyDescent="0.25">
      <c r="A103" s="35">
        <f t="shared" si="19"/>
        <v>86</v>
      </c>
      <c r="B103" s="182">
        <f t="shared" si="20"/>
        <v>47515</v>
      </c>
      <c r="C103" s="183">
        <f t="shared" si="21"/>
        <v>6251.6233499172786</v>
      </c>
      <c r="D103" s="183">
        <f t="shared" si="13"/>
        <v>184.02690768512142</v>
      </c>
      <c r="E103" s="183">
        <f t="shared" si="14"/>
        <v>0</v>
      </c>
      <c r="F103" s="227"/>
      <c r="G103" s="183">
        <f t="shared" si="15"/>
        <v>184.02690768512142</v>
      </c>
      <c r="H103" s="183">
        <f t="shared" si="16"/>
        <v>173.60753543525928</v>
      </c>
      <c r="I103" s="183">
        <f t="shared" si="17"/>
        <v>10.41937224986213</v>
      </c>
      <c r="J103" s="184">
        <f t="shared" si="18"/>
        <v>6078.0158144820189</v>
      </c>
      <c r="K103" s="51">
        <f t="shared" si="22"/>
        <v>86</v>
      </c>
      <c r="L103" s="48"/>
    </row>
    <row r="104" spans="1:12" x14ac:dyDescent="0.25">
      <c r="A104" s="35">
        <f t="shared" si="19"/>
        <v>87</v>
      </c>
      <c r="B104" s="182">
        <f t="shared" si="20"/>
        <v>47543</v>
      </c>
      <c r="C104" s="183">
        <f t="shared" si="21"/>
        <v>6078.0158144820189</v>
      </c>
      <c r="D104" s="183">
        <f t="shared" si="13"/>
        <v>184.02690768512142</v>
      </c>
      <c r="E104" s="183">
        <f t="shared" si="14"/>
        <v>0</v>
      </c>
      <c r="F104" s="227"/>
      <c r="G104" s="183">
        <f t="shared" si="15"/>
        <v>184.02690768512142</v>
      </c>
      <c r="H104" s="183">
        <f t="shared" si="16"/>
        <v>173.89688132765139</v>
      </c>
      <c r="I104" s="183">
        <f t="shared" si="17"/>
        <v>10.130026357470031</v>
      </c>
      <c r="J104" s="184">
        <f t="shared" si="18"/>
        <v>5904.1189331543674</v>
      </c>
      <c r="K104" s="51">
        <f t="shared" si="22"/>
        <v>87</v>
      </c>
      <c r="L104" s="48"/>
    </row>
    <row r="105" spans="1:12" x14ac:dyDescent="0.25">
      <c r="A105" s="35">
        <f t="shared" si="19"/>
        <v>88</v>
      </c>
      <c r="B105" s="182">
        <f t="shared" si="20"/>
        <v>47574</v>
      </c>
      <c r="C105" s="183">
        <f t="shared" si="21"/>
        <v>5904.1189331543674</v>
      </c>
      <c r="D105" s="183">
        <f t="shared" si="13"/>
        <v>184.02690768512142</v>
      </c>
      <c r="E105" s="183">
        <f t="shared" si="14"/>
        <v>0</v>
      </c>
      <c r="F105" s="227"/>
      <c r="G105" s="183">
        <f t="shared" si="15"/>
        <v>184.02690768512142</v>
      </c>
      <c r="H105" s="183">
        <f t="shared" si="16"/>
        <v>174.18670946319747</v>
      </c>
      <c r="I105" s="183">
        <f t="shared" si="17"/>
        <v>9.8401982219239468</v>
      </c>
      <c r="J105" s="184">
        <f t="shared" si="18"/>
        <v>5729.9322236911703</v>
      </c>
      <c r="K105" s="51">
        <f t="shared" si="22"/>
        <v>88</v>
      </c>
      <c r="L105" s="48"/>
    </row>
    <row r="106" spans="1:12" x14ac:dyDescent="0.25">
      <c r="A106" s="35">
        <f t="shared" si="19"/>
        <v>89</v>
      </c>
      <c r="B106" s="182">
        <f t="shared" si="20"/>
        <v>47604</v>
      </c>
      <c r="C106" s="183">
        <f t="shared" si="21"/>
        <v>5729.9322236911703</v>
      </c>
      <c r="D106" s="183">
        <f t="shared" si="13"/>
        <v>184.02690768512142</v>
      </c>
      <c r="E106" s="183">
        <f t="shared" si="14"/>
        <v>0</v>
      </c>
      <c r="F106" s="227"/>
      <c r="G106" s="183">
        <f t="shared" si="15"/>
        <v>184.02690768512142</v>
      </c>
      <c r="H106" s="183">
        <f t="shared" si="16"/>
        <v>174.47702064563612</v>
      </c>
      <c r="I106" s="183">
        <f t="shared" si="17"/>
        <v>9.5498870394852844</v>
      </c>
      <c r="J106" s="184">
        <f t="shared" si="18"/>
        <v>5555.4552030455343</v>
      </c>
      <c r="K106" s="51">
        <f t="shared" si="22"/>
        <v>89</v>
      </c>
      <c r="L106" s="48"/>
    </row>
    <row r="107" spans="1:12" x14ac:dyDescent="0.25">
      <c r="A107" s="35">
        <f t="shared" si="19"/>
        <v>90</v>
      </c>
      <c r="B107" s="182">
        <f t="shared" si="20"/>
        <v>47635</v>
      </c>
      <c r="C107" s="183">
        <f t="shared" si="21"/>
        <v>5555.4552030455343</v>
      </c>
      <c r="D107" s="183">
        <f t="shared" si="13"/>
        <v>184.02690768512142</v>
      </c>
      <c r="E107" s="183">
        <f t="shared" si="14"/>
        <v>0</v>
      </c>
      <c r="F107" s="227"/>
      <c r="G107" s="183">
        <f t="shared" si="15"/>
        <v>184.02690768512142</v>
      </c>
      <c r="H107" s="183">
        <f t="shared" si="16"/>
        <v>174.76781568004552</v>
      </c>
      <c r="I107" s="183">
        <f t="shared" si="17"/>
        <v>9.2590920050758907</v>
      </c>
      <c r="J107" s="184">
        <f t="shared" si="18"/>
        <v>5380.6873873654886</v>
      </c>
      <c r="K107" s="51">
        <f t="shared" si="22"/>
        <v>90</v>
      </c>
      <c r="L107" s="48"/>
    </row>
    <row r="108" spans="1:12" x14ac:dyDescent="0.25">
      <c r="A108" s="35">
        <f t="shared" si="19"/>
        <v>91</v>
      </c>
      <c r="B108" s="182">
        <f t="shared" si="20"/>
        <v>47665</v>
      </c>
      <c r="C108" s="183">
        <f t="shared" si="21"/>
        <v>5380.6873873654886</v>
      </c>
      <c r="D108" s="183">
        <f t="shared" si="13"/>
        <v>184.02690768512142</v>
      </c>
      <c r="E108" s="183">
        <f t="shared" si="14"/>
        <v>0</v>
      </c>
      <c r="F108" s="227"/>
      <c r="G108" s="183">
        <f t="shared" si="15"/>
        <v>184.02690768512142</v>
      </c>
      <c r="H108" s="183">
        <f t="shared" si="16"/>
        <v>175.0590953728456</v>
      </c>
      <c r="I108" s="183">
        <f t="shared" si="17"/>
        <v>8.9678123122758144</v>
      </c>
      <c r="J108" s="184">
        <f t="shared" si="18"/>
        <v>5205.6282919926434</v>
      </c>
      <c r="K108" s="51">
        <f t="shared" si="22"/>
        <v>91</v>
      </c>
      <c r="L108" s="48"/>
    </row>
    <row r="109" spans="1:12" x14ac:dyDescent="0.25">
      <c r="A109" s="35">
        <f t="shared" si="19"/>
        <v>92</v>
      </c>
      <c r="B109" s="182">
        <f t="shared" si="20"/>
        <v>47696</v>
      </c>
      <c r="C109" s="183">
        <f t="shared" si="21"/>
        <v>5205.6282919926434</v>
      </c>
      <c r="D109" s="183">
        <f t="shared" si="13"/>
        <v>184.02690768512142</v>
      </c>
      <c r="E109" s="183">
        <f t="shared" si="14"/>
        <v>0</v>
      </c>
      <c r="F109" s="227"/>
      <c r="G109" s="183">
        <f t="shared" si="15"/>
        <v>184.02690768512142</v>
      </c>
      <c r="H109" s="183">
        <f t="shared" si="16"/>
        <v>175.35086053180035</v>
      </c>
      <c r="I109" s="183">
        <f t="shared" si="17"/>
        <v>8.6760471533210737</v>
      </c>
      <c r="J109" s="184">
        <f t="shared" si="18"/>
        <v>5030.2774314608432</v>
      </c>
      <c r="K109" s="51">
        <f t="shared" si="22"/>
        <v>92</v>
      </c>
      <c r="L109" s="48"/>
    </row>
    <row r="110" spans="1:12" x14ac:dyDescent="0.25">
      <c r="A110" s="35">
        <f t="shared" si="19"/>
        <v>93</v>
      </c>
      <c r="B110" s="182">
        <f t="shared" si="20"/>
        <v>47727</v>
      </c>
      <c r="C110" s="183">
        <f t="shared" si="21"/>
        <v>5030.2774314608432</v>
      </c>
      <c r="D110" s="183">
        <f t="shared" si="13"/>
        <v>184.02690768512142</v>
      </c>
      <c r="E110" s="183">
        <f t="shared" si="14"/>
        <v>0</v>
      </c>
      <c r="F110" s="227"/>
      <c r="G110" s="183">
        <f t="shared" si="15"/>
        <v>184.02690768512142</v>
      </c>
      <c r="H110" s="183">
        <f t="shared" si="16"/>
        <v>175.64311196602</v>
      </c>
      <c r="I110" s="183">
        <f t="shared" si="17"/>
        <v>8.3837957191014052</v>
      </c>
      <c r="J110" s="184">
        <f t="shared" si="18"/>
        <v>4854.6343194948231</v>
      </c>
      <c r="K110" s="51">
        <f t="shared" si="22"/>
        <v>93</v>
      </c>
      <c r="L110" s="48"/>
    </row>
    <row r="111" spans="1:12" x14ac:dyDescent="0.25">
      <c r="A111" s="35">
        <f t="shared" si="19"/>
        <v>94</v>
      </c>
      <c r="B111" s="182">
        <f t="shared" si="20"/>
        <v>47757</v>
      </c>
      <c r="C111" s="183">
        <f t="shared" si="21"/>
        <v>4854.6343194948231</v>
      </c>
      <c r="D111" s="183">
        <f t="shared" si="13"/>
        <v>184.02690768512142</v>
      </c>
      <c r="E111" s="183">
        <f t="shared" si="14"/>
        <v>0</v>
      </c>
      <c r="F111" s="227"/>
      <c r="G111" s="183">
        <f t="shared" si="15"/>
        <v>184.02690768512142</v>
      </c>
      <c r="H111" s="183">
        <f t="shared" si="16"/>
        <v>175.93585048596339</v>
      </c>
      <c r="I111" s="183">
        <f t="shared" si="17"/>
        <v>8.0910571991580387</v>
      </c>
      <c r="J111" s="184">
        <f t="shared" si="18"/>
        <v>4678.6984690088593</v>
      </c>
      <c r="K111" s="51">
        <f t="shared" si="22"/>
        <v>94</v>
      </c>
      <c r="L111" s="48"/>
    </row>
    <row r="112" spans="1:12" x14ac:dyDescent="0.25">
      <c r="A112" s="35">
        <f t="shared" si="19"/>
        <v>95</v>
      </c>
      <c r="B112" s="182">
        <f t="shared" si="20"/>
        <v>47788</v>
      </c>
      <c r="C112" s="183">
        <f t="shared" si="21"/>
        <v>4678.6984690088593</v>
      </c>
      <c r="D112" s="183">
        <f t="shared" si="13"/>
        <v>184.02690768512142</v>
      </c>
      <c r="E112" s="183">
        <f t="shared" si="14"/>
        <v>0</v>
      </c>
      <c r="F112" s="227"/>
      <c r="G112" s="183">
        <f t="shared" si="15"/>
        <v>184.02690768512142</v>
      </c>
      <c r="H112" s="183">
        <f t="shared" si="16"/>
        <v>176.22907690343999</v>
      </c>
      <c r="I112" s="183">
        <f t="shared" si="17"/>
        <v>7.7978307816814327</v>
      </c>
      <c r="J112" s="184">
        <f t="shared" si="18"/>
        <v>4502.4693921054195</v>
      </c>
      <c r="K112" s="51">
        <f t="shared" si="22"/>
        <v>95</v>
      </c>
      <c r="L112" s="48"/>
    </row>
    <row r="113" spans="1:12" x14ac:dyDescent="0.25">
      <c r="A113" s="35">
        <f t="shared" si="19"/>
        <v>96</v>
      </c>
      <c r="B113" s="182">
        <f t="shared" si="20"/>
        <v>47818</v>
      </c>
      <c r="C113" s="183">
        <f t="shared" si="21"/>
        <v>4502.4693921054195</v>
      </c>
      <c r="D113" s="183">
        <f t="shared" si="13"/>
        <v>184.02690768512142</v>
      </c>
      <c r="E113" s="183">
        <f t="shared" si="14"/>
        <v>0</v>
      </c>
      <c r="F113" s="227"/>
      <c r="G113" s="183">
        <f t="shared" si="15"/>
        <v>184.02690768512142</v>
      </c>
      <c r="H113" s="183">
        <f t="shared" si="16"/>
        <v>176.52279203161237</v>
      </c>
      <c r="I113" s="183">
        <f t="shared" si="17"/>
        <v>7.5041156535090323</v>
      </c>
      <c r="J113" s="184">
        <f t="shared" si="18"/>
        <v>4325.9466000738075</v>
      </c>
      <c r="K113" s="51">
        <f t="shared" si="22"/>
        <v>96</v>
      </c>
      <c r="L113" s="48"/>
    </row>
    <row r="114" spans="1:12" x14ac:dyDescent="0.25">
      <c r="A114" s="35">
        <f t="shared" si="19"/>
        <v>97</v>
      </c>
      <c r="B114" s="182">
        <f t="shared" si="20"/>
        <v>47849</v>
      </c>
      <c r="C114" s="183">
        <f t="shared" si="21"/>
        <v>4325.9466000738075</v>
      </c>
      <c r="D114" s="183">
        <f t="shared" si="13"/>
        <v>184.02690768512142</v>
      </c>
      <c r="E114" s="183">
        <f t="shared" si="14"/>
        <v>0</v>
      </c>
      <c r="F114" s="227"/>
      <c r="G114" s="183">
        <f t="shared" si="15"/>
        <v>184.02690768512142</v>
      </c>
      <c r="H114" s="183">
        <f t="shared" si="16"/>
        <v>176.8169966849984</v>
      </c>
      <c r="I114" s="183">
        <f t="shared" si="17"/>
        <v>7.2099110001230136</v>
      </c>
      <c r="J114" s="184">
        <f t="shared" si="18"/>
        <v>4149.1296033888093</v>
      </c>
      <c r="K114" s="51">
        <f t="shared" si="22"/>
        <v>97</v>
      </c>
      <c r="L114" s="48"/>
    </row>
    <row r="115" spans="1:12" x14ac:dyDescent="0.25">
      <c r="A115" s="35">
        <f t="shared" si="19"/>
        <v>98</v>
      </c>
      <c r="B115" s="182">
        <f t="shared" si="20"/>
        <v>47880</v>
      </c>
      <c r="C115" s="183">
        <f t="shared" si="21"/>
        <v>4149.1296033888093</v>
      </c>
      <c r="D115" s="183">
        <f t="shared" si="13"/>
        <v>184.02690768512142</v>
      </c>
      <c r="E115" s="183">
        <f t="shared" si="14"/>
        <v>0</v>
      </c>
      <c r="F115" s="227"/>
      <c r="G115" s="183">
        <f t="shared" si="15"/>
        <v>184.02690768512142</v>
      </c>
      <c r="H115" s="183">
        <f t="shared" si="16"/>
        <v>177.11169167947341</v>
      </c>
      <c r="I115" s="183">
        <f t="shared" si="17"/>
        <v>6.9152160056480154</v>
      </c>
      <c r="J115" s="184">
        <f t="shared" si="18"/>
        <v>3972.0179117093357</v>
      </c>
      <c r="K115" s="51">
        <f t="shared" si="22"/>
        <v>98</v>
      </c>
      <c r="L115" s="48"/>
    </row>
    <row r="116" spans="1:12" x14ac:dyDescent="0.25">
      <c r="A116" s="35">
        <f t="shared" si="19"/>
        <v>99</v>
      </c>
      <c r="B116" s="182">
        <f t="shared" si="20"/>
        <v>47908</v>
      </c>
      <c r="C116" s="183">
        <f t="shared" si="21"/>
        <v>3972.0179117093357</v>
      </c>
      <c r="D116" s="183">
        <f t="shared" si="13"/>
        <v>184.02690768512142</v>
      </c>
      <c r="E116" s="183">
        <f t="shared" si="14"/>
        <v>0</v>
      </c>
      <c r="F116" s="227"/>
      <c r="G116" s="183">
        <f t="shared" si="15"/>
        <v>184.02690768512142</v>
      </c>
      <c r="H116" s="183">
        <f t="shared" si="16"/>
        <v>177.40687783227253</v>
      </c>
      <c r="I116" s="183">
        <f t="shared" si="17"/>
        <v>6.6200298528488934</v>
      </c>
      <c r="J116" s="184">
        <f t="shared" si="18"/>
        <v>3794.6110338770632</v>
      </c>
      <c r="K116" s="51">
        <f t="shared" si="22"/>
        <v>99</v>
      </c>
      <c r="L116" s="48"/>
    </row>
    <row r="117" spans="1:12" x14ac:dyDescent="0.25">
      <c r="A117" s="35">
        <f t="shared" si="19"/>
        <v>100</v>
      </c>
      <c r="B117" s="182">
        <f t="shared" si="20"/>
        <v>47939</v>
      </c>
      <c r="C117" s="183">
        <f t="shared" si="21"/>
        <v>3794.6110338770632</v>
      </c>
      <c r="D117" s="183">
        <f t="shared" si="13"/>
        <v>184.02690768512142</v>
      </c>
      <c r="E117" s="183">
        <f t="shared" si="14"/>
        <v>0</v>
      </c>
      <c r="F117" s="227"/>
      <c r="G117" s="183">
        <f t="shared" si="15"/>
        <v>184.02690768512142</v>
      </c>
      <c r="H117" s="183">
        <f t="shared" si="16"/>
        <v>177.70255596199297</v>
      </c>
      <c r="I117" s="183">
        <f t="shared" si="17"/>
        <v>6.3243517231284381</v>
      </c>
      <c r="J117" s="184">
        <f t="shared" si="18"/>
        <v>3616.9084779150703</v>
      </c>
      <c r="K117" s="51">
        <f t="shared" si="22"/>
        <v>100</v>
      </c>
      <c r="L117" s="48"/>
    </row>
    <row r="118" spans="1:12" x14ac:dyDescent="0.25">
      <c r="A118" s="35">
        <f t="shared" si="19"/>
        <v>101</v>
      </c>
      <c r="B118" s="182">
        <f t="shared" si="20"/>
        <v>47969</v>
      </c>
      <c r="C118" s="183">
        <f t="shared" si="21"/>
        <v>3616.9084779150703</v>
      </c>
      <c r="D118" s="183">
        <f t="shared" si="13"/>
        <v>184.02690768512142</v>
      </c>
      <c r="E118" s="183">
        <f t="shared" si="14"/>
        <v>0</v>
      </c>
      <c r="F118" s="227"/>
      <c r="G118" s="183">
        <f t="shared" si="15"/>
        <v>184.02690768512142</v>
      </c>
      <c r="H118" s="183">
        <f t="shared" si="16"/>
        <v>177.99872688859631</v>
      </c>
      <c r="I118" s="183">
        <f t="shared" si="17"/>
        <v>6.0281807965251168</v>
      </c>
      <c r="J118" s="184">
        <f t="shared" si="18"/>
        <v>3438.9097510264742</v>
      </c>
      <c r="K118" s="51">
        <f t="shared" si="22"/>
        <v>101</v>
      </c>
      <c r="L118" s="48"/>
    </row>
    <row r="119" spans="1:12" x14ac:dyDescent="0.25">
      <c r="A119" s="35">
        <f t="shared" si="19"/>
        <v>102</v>
      </c>
      <c r="B119" s="182">
        <f t="shared" si="20"/>
        <v>48000</v>
      </c>
      <c r="C119" s="183">
        <f t="shared" si="21"/>
        <v>3438.9097510264742</v>
      </c>
      <c r="D119" s="183">
        <f t="shared" si="13"/>
        <v>184.02690768512142</v>
      </c>
      <c r="E119" s="183">
        <f t="shared" si="14"/>
        <v>0</v>
      </c>
      <c r="F119" s="227"/>
      <c r="G119" s="183">
        <f t="shared" si="15"/>
        <v>184.02690768512142</v>
      </c>
      <c r="H119" s="183">
        <f t="shared" si="16"/>
        <v>178.29539143341063</v>
      </c>
      <c r="I119" s="183">
        <f t="shared" si="17"/>
        <v>5.73151625171079</v>
      </c>
      <c r="J119" s="184">
        <f t="shared" si="18"/>
        <v>3260.6143595930635</v>
      </c>
      <c r="K119" s="51">
        <f t="shared" si="22"/>
        <v>102</v>
      </c>
      <c r="L119" s="48"/>
    </row>
    <row r="120" spans="1:12" x14ac:dyDescent="0.25">
      <c r="A120" s="35">
        <f t="shared" si="19"/>
        <v>103</v>
      </c>
      <c r="B120" s="182">
        <f t="shared" si="20"/>
        <v>48030</v>
      </c>
      <c r="C120" s="183">
        <f t="shared" si="21"/>
        <v>3260.6143595930635</v>
      </c>
      <c r="D120" s="183">
        <f t="shared" si="13"/>
        <v>184.02690768512142</v>
      </c>
      <c r="E120" s="183">
        <f t="shared" si="14"/>
        <v>0</v>
      </c>
      <c r="F120" s="227"/>
      <c r="G120" s="183">
        <f t="shared" si="15"/>
        <v>184.02690768512142</v>
      </c>
      <c r="H120" s="183">
        <f t="shared" si="16"/>
        <v>178.59255041913298</v>
      </c>
      <c r="I120" s="183">
        <f t="shared" si="17"/>
        <v>5.4343572659884387</v>
      </c>
      <c r="J120" s="184">
        <f t="shared" si="18"/>
        <v>3082.0218091739307</v>
      </c>
      <c r="K120" s="51">
        <f t="shared" si="22"/>
        <v>103</v>
      </c>
      <c r="L120" s="48"/>
    </row>
    <row r="121" spans="1:12" x14ac:dyDescent="0.25">
      <c r="A121" s="35">
        <f t="shared" si="19"/>
        <v>104</v>
      </c>
      <c r="B121" s="182">
        <f t="shared" si="20"/>
        <v>48061</v>
      </c>
      <c r="C121" s="183">
        <f t="shared" si="21"/>
        <v>3082.0218091739307</v>
      </c>
      <c r="D121" s="183">
        <f t="shared" si="13"/>
        <v>184.02690768512142</v>
      </c>
      <c r="E121" s="183">
        <f t="shared" si="14"/>
        <v>0</v>
      </c>
      <c r="F121" s="227"/>
      <c r="G121" s="183">
        <f t="shared" si="15"/>
        <v>184.02690768512142</v>
      </c>
      <c r="H121" s="183">
        <f t="shared" si="16"/>
        <v>178.89020466983152</v>
      </c>
      <c r="I121" s="183">
        <f t="shared" si="17"/>
        <v>5.1367030152898847</v>
      </c>
      <c r="J121" s="184">
        <f t="shared" si="18"/>
        <v>2903.1316045040994</v>
      </c>
      <c r="K121" s="51">
        <f t="shared" si="22"/>
        <v>104</v>
      </c>
      <c r="L121" s="48"/>
    </row>
    <row r="122" spans="1:12" x14ac:dyDescent="0.25">
      <c r="A122" s="35">
        <f t="shared" si="19"/>
        <v>105</v>
      </c>
      <c r="B122" s="182">
        <f t="shared" si="20"/>
        <v>48092</v>
      </c>
      <c r="C122" s="183">
        <f t="shared" si="21"/>
        <v>2903.1316045040994</v>
      </c>
      <c r="D122" s="183">
        <f t="shared" si="13"/>
        <v>184.02690768512142</v>
      </c>
      <c r="E122" s="183">
        <f t="shared" si="14"/>
        <v>0</v>
      </c>
      <c r="F122" s="227"/>
      <c r="G122" s="183">
        <f t="shared" si="15"/>
        <v>184.02690768512142</v>
      </c>
      <c r="H122" s="183">
        <f t="shared" si="16"/>
        <v>179.18835501094793</v>
      </c>
      <c r="I122" s="183">
        <f t="shared" si="17"/>
        <v>4.8385526741734992</v>
      </c>
      <c r="J122" s="184">
        <f t="shared" si="18"/>
        <v>2723.9432494931516</v>
      </c>
      <c r="K122" s="51">
        <f t="shared" si="22"/>
        <v>105</v>
      </c>
      <c r="L122" s="48"/>
    </row>
    <row r="123" spans="1:12" x14ac:dyDescent="0.25">
      <c r="A123" s="35">
        <f t="shared" si="19"/>
        <v>106</v>
      </c>
      <c r="B123" s="182">
        <f t="shared" si="20"/>
        <v>48122</v>
      </c>
      <c r="C123" s="183">
        <f t="shared" si="21"/>
        <v>2723.9432494931516</v>
      </c>
      <c r="D123" s="183">
        <f t="shared" si="13"/>
        <v>184.02690768512142</v>
      </c>
      <c r="E123" s="183">
        <f t="shared" si="14"/>
        <v>0</v>
      </c>
      <c r="F123" s="227"/>
      <c r="G123" s="183">
        <f t="shared" si="15"/>
        <v>184.02690768512142</v>
      </c>
      <c r="H123" s="183">
        <f t="shared" si="16"/>
        <v>179.4870022692995</v>
      </c>
      <c r="I123" s="183">
        <f t="shared" si="17"/>
        <v>4.5399054158219192</v>
      </c>
      <c r="J123" s="184">
        <f t="shared" si="18"/>
        <v>2544.4562472238522</v>
      </c>
      <c r="K123" s="51">
        <f t="shared" si="22"/>
        <v>106</v>
      </c>
      <c r="L123" s="48"/>
    </row>
    <row r="124" spans="1:12" x14ac:dyDescent="0.25">
      <c r="A124" s="35">
        <f t="shared" si="19"/>
        <v>107</v>
      </c>
      <c r="B124" s="182">
        <f t="shared" si="20"/>
        <v>48153</v>
      </c>
      <c r="C124" s="183">
        <f t="shared" si="21"/>
        <v>2544.4562472238522</v>
      </c>
      <c r="D124" s="183">
        <f t="shared" si="13"/>
        <v>184.02690768512142</v>
      </c>
      <c r="E124" s="183">
        <f t="shared" si="14"/>
        <v>0</v>
      </c>
      <c r="F124" s="227"/>
      <c r="G124" s="183">
        <f t="shared" si="15"/>
        <v>184.02690768512142</v>
      </c>
      <c r="H124" s="183">
        <f t="shared" si="16"/>
        <v>179.78614727308167</v>
      </c>
      <c r="I124" s="183">
        <f t="shared" si="17"/>
        <v>4.2407604120397542</v>
      </c>
      <c r="J124" s="184">
        <f t="shared" si="18"/>
        <v>2364.6700999507707</v>
      </c>
      <c r="K124" s="51">
        <f t="shared" si="22"/>
        <v>107</v>
      </c>
      <c r="L124" s="48"/>
    </row>
    <row r="125" spans="1:12" x14ac:dyDescent="0.25">
      <c r="A125" s="35">
        <f t="shared" si="19"/>
        <v>108</v>
      </c>
      <c r="B125" s="182">
        <f t="shared" si="20"/>
        <v>48183</v>
      </c>
      <c r="C125" s="183">
        <f t="shared" si="21"/>
        <v>2364.6700999507707</v>
      </c>
      <c r="D125" s="183">
        <f t="shared" si="13"/>
        <v>184.02690768512142</v>
      </c>
      <c r="E125" s="183">
        <f t="shared" si="14"/>
        <v>0</v>
      </c>
      <c r="F125" s="227"/>
      <c r="G125" s="183">
        <f t="shared" si="15"/>
        <v>184.02690768512142</v>
      </c>
      <c r="H125" s="183">
        <f t="shared" si="16"/>
        <v>180.08579085187014</v>
      </c>
      <c r="I125" s="183">
        <f t="shared" si="17"/>
        <v>3.9411168332512845</v>
      </c>
      <c r="J125" s="184">
        <f t="shared" si="18"/>
        <v>2184.5843090989006</v>
      </c>
      <c r="K125" s="51">
        <f t="shared" si="22"/>
        <v>108</v>
      </c>
      <c r="L125" s="48"/>
    </row>
    <row r="126" spans="1:12" x14ac:dyDescent="0.25">
      <c r="A126" s="35">
        <f t="shared" si="19"/>
        <v>109</v>
      </c>
      <c r="B126" s="182">
        <f t="shared" si="20"/>
        <v>48214</v>
      </c>
      <c r="C126" s="183">
        <f t="shared" si="21"/>
        <v>2184.5843090989006</v>
      </c>
      <c r="D126" s="183">
        <f t="shared" si="13"/>
        <v>184.02690768512142</v>
      </c>
      <c r="E126" s="183">
        <f t="shared" si="14"/>
        <v>0</v>
      </c>
      <c r="F126" s="227"/>
      <c r="G126" s="183">
        <f t="shared" si="15"/>
        <v>184.02690768512142</v>
      </c>
      <c r="H126" s="183">
        <f t="shared" si="16"/>
        <v>180.38593383662325</v>
      </c>
      <c r="I126" s="183">
        <f t="shared" si="17"/>
        <v>3.640973848498168</v>
      </c>
      <c r="J126" s="184">
        <f t="shared" si="18"/>
        <v>2004.1983752622773</v>
      </c>
      <c r="K126" s="51">
        <f t="shared" si="22"/>
        <v>109</v>
      </c>
      <c r="L126" s="48"/>
    </row>
    <row r="127" spans="1:12" x14ac:dyDescent="0.25">
      <c r="A127" s="35">
        <f t="shared" si="19"/>
        <v>110</v>
      </c>
      <c r="B127" s="182">
        <f t="shared" si="20"/>
        <v>48245</v>
      </c>
      <c r="C127" s="183">
        <f t="shared" si="21"/>
        <v>2004.1983752622773</v>
      </c>
      <c r="D127" s="183">
        <f t="shared" si="13"/>
        <v>184.02690768512142</v>
      </c>
      <c r="E127" s="183">
        <f t="shared" si="14"/>
        <v>0</v>
      </c>
      <c r="F127" s="227"/>
      <c r="G127" s="183">
        <f t="shared" si="15"/>
        <v>184.02690768512142</v>
      </c>
      <c r="H127" s="183">
        <f t="shared" si="16"/>
        <v>180.68657705968428</v>
      </c>
      <c r="I127" s="183">
        <f t="shared" si="17"/>
        <v>3.340330625437129</v>
      </c>
      <c r="J127" s="184">
        <f t="shared" si="18"/>
        <v>1823.5117982025931</v>
      </c>
      <c r="K127" s="51">
        <f t="shared" si="22"/>
        <v>110</v>
      </c>
      <c r="L127" s="48"/>
    </row>
    <row r="128" spans="1:12" x14ac:dyDescent="0.25">
      <c r="A128" s="35">
        <f t="shared" si="19"/>
        <v>111</v>
      </c>
      <c r="B128" s="182">
        <f t="shared" si="20"/>
        <v>48274</v>
      </c>
      <c r="C128" s="183">
        <f t="shared" si="21"/>
        <v>1823.5117982025931</v>
      </c>
      <c r="D128" s="183">
        <f t="shared" si="13"/>
        <v>184.02690768512142</v>
      </c>
      <c r="E128" s="183">
        <f t="shared" si="14"/>
        <v>0</v>
      </c>
      <c r="F128" s="227"/>
      <c r="G128" s="183">
        <f t="shared" si="15"/>
        <v>184.02690768512142</v>
      </c>
      <c r="H128" s="183">
        <f t="shared" si="16"/>
        <v>180.98772135478376</v>
      </c>
      <c r="I128" s="183">
        <f t="shared" si="17"/>
        <v>3.0391863303376554</v>
      </c>
      <c r="J128" s="184">
        <f t="shared" si="18"/>
        <v>1642.5240768478093</v>
      </c>
      <c r="K128" s="51">
        <f t="shared" si="22"/>
        <v>111</v>
      </c>
      <c r="L128" s="48"/>
    </row>
    <row r="129" spans="1:12" x14ac:dyDescent="0.25">
      <c r="A129" s="35">
        <f t="shared" si="19"/>
        <v>112</v>
      </c>
      <c r="B129" s="182">
        <f t="shared" si="20"/>
        <v>48305</v>
      </c>
      <c r="C129" s="183">
        <f t="shared" si="21"/>
        <v>1642.5240768478093</v>
      </c>
      <c r="D129" s="183">
        <f t="shared" si="13"/>
        <v>184.02690768512142</v>
      </c>
      <c r="E129" s="183">
        <f t="shared" si="14"/>
        <v>0</v>
      </c>
      <c r="F129" s="227"/>
      <c r="G129" s="183">
        <f t="shared" si="15"/>
        <v>184.02690768512142</v>
      </c>
      <c r="H129" s="183">
        <f t="shared" si="16"/>
        <v>181.28936755704174</v>
      </c>
      <c r="I129" s="183">
        <f t="shared" si="17"/>
        <v>2.7375401280796825</v>
      </c>
      <c r="J129" s="184">
        <f t="shared" si="18"/>
        <v>1461.2347092907676</v>
      </c>
      <c r="K129" s="51">
        <f t="shared" si="22"/>
        <v>112</v>
      </c>
      <c r="L129" s="48"/>
    </row>
    <row r="130" spans="1:12" x14ac:dyDescent="0.25">
      <c r="A130" s="35">
        <f t="shared" si="19"/>
        <v>113</v>
      </c>
      <c r="B130" s="182">
        <f t="shared" si="20"/>
        <v>48335</v>
      </c>
      <c r="C130" s="183">
        <f t="shared" si="21"/>
        <v>1461.2347092907676</v>
      </c>
      <c r="D130" s="183">
        <f t="shared" si="13"/>
        <v>184.02690768512142</v>
      </c>
      <c r="E130" s="183">
        <f t="shared" si="14"/>
        <v>0</v>
      </c>
      <c r="F130" s="227"/>
      <c r="G130" s="183">
        <f t="shared" si="15"/>
        <v>184.02690768512142</v>
      </c>
      <c r="H130" s="183">
        <f t="shared" si="16"/>
        <v>181.59151650297014</v>
      </c>
      <c r="I130" s="183">
        <f t="shared" si="17"/>
        <v>2.4353911821512795</v>
      </c>
      <c r="J130" s="184">
        <f t="shared" si="18"/>
        <v>1279.6431927877975</v>
      </c>
      <c r="K130" s="51">
        <f t="shared" si="22"/>
        <v>113</v>
      </c>
      <c r="L130" s="48"/>
    </row>
    <row r="131" spans="1:12" x14ac:dyDescent="0.25">
      <c r="A131" s="35">
        <f t="shared" si="19"/>
        <v>114</v>
      </c>
      <c r="B131" s="182">
        <f t="shared" si="20"/>
        <v>48366</v>
      </c>
      <c r="C131" s="183">
        <f t="shared" si="21"/>
        <v>1279.6431927877975</v>
      </c>
      <c r="D131" s="183">
        <f t="shared" si="13"/>
        <v>184.02690768512142</v>
      </c>
      <c r="E131" s="183">
        <f t="shared" si="14"/>
        <v>0</v>
      </c>
      <c r="F131" s="227"/>
      <c r="G131" s="183">
        <f t="shared" si="15"/>
        <v>184.02690768512142</v>
      </c>
      <c r="H131" s="183">
        <f t="shared" si="16"/>
        <v>181.8941690304751</v>
      </c>
      <c r="I131" s="183">
        <f t="shared" si="17"/>
        <v>2.1327386546463294</v>
      </c>
      <c r="J131" s="184">
        <f t="shared" si="18"/>
        <v>1097.7490237573224</v>
      </c>
      <c r="K131" s="51">
        <f t="shared" si="22"/>
        <v>114</v>
      </c>
      <c r="L131" s="48"/>
    </row>
    <row r="132" spans="1:12" x14ac:dyDescent="0.25">
      <c r="A132" s="35">
        <f t="shared" si="19"/>
        <v>115</v>
      </c>
      <c r="B132" s="182">
        <f t="shared" si="20"/>
        <v>48396</v>
      </c>
      <c r="C132" s="183">
        <f t="shared" si="21"/>
        <v>1097.7490237573224</v>
      </c>
      <c r="D132" s="183">
        <f t="shared" si="13"/>
        <v>184.02690768512142</v>
      </c>
      <c r="E132" s="183">
        <f t="shared" si="14"/>
        <v>0</v>
      </c>
      <c r="F132" s="227"/>
      <c r="G132" s="183">
        <f t="shared" si="15"/>
        <v>184.02690768512142</v>
      </c>
      <c r="H132" s="183">
        <f t="shared" si="16"/>
        <v>182.1973259788592</v>
      </c>
      <c r="I132" s="183">
        <f t="shared" si="17"/>
        <v>1.8295817062622042</v>
      </c>
      <c r="J132" s="184">
        <f t="shared" si="18"/>
        <v>915.55169777846322</v>
      </c>
      <c r="K132" s="51">
        <f t="shared" si="22"/>
        <v>115</v>
      </c>
      <c r="L132" s="48"/>
    </row>
    <row r="133" spans="1:12" x14ac:dyDescent="0.25">
      <c r="A133" s="35">
        <f t="shared" si="19"/>
        <v>116</v>
      </c>
      <c r="B133" s="182">
        <f t="shared" si="20"/>
        <v>48427</v>
      </c>
      <c r="C133" s="183">
        <f t="shared" si="21"/>
        <v>915.55169777846322</v>
      </c>
      <c r="D133" s="183">
        <f t="shared" si="13"/>
        <v>184.02690768512142</v>
      </c>
      <c r="E133" s="183">
        <f t="shared" si="14"/>
        <v>0</v>
      </c>
      <c r="F133" s="227"/>
      <c r="G133" s="183">
        <f t="shared" si="15"/>
        <v>184.02690768512142</v>
      </c>
      <c r="H133" s="183">
        <f t="shared" si="16"/>
        <v>182.50098818882398</v>
      </c>
      <c r="I133" s="183">
        <f t="shared" si="17"/>
        <v>1.5259194962974387</v>
      </c>
      <c r="J133" s="184">
        <f t="shared" si="18"/>
        <v>733.05070958963927</v>
      </c>
      <c r="K133" s="51">
        <f t="shared" si="22"/>
        <v>116</v>
      </c>
      <c r="L133" s="48"/>
    </row>
    <row r="134" spans="1:12" x14ac:dyDescent="0.25">
      <c r="A134" s="35">
        <f t="shared" si="19"/>
        <v>117</v>
      </c>
      <c r="B134" s="182">
        <f t="shared" si="20"/>
        <v>48458</v>
      </c>
      <c r="C134" s="183">
        <f t="shared" si="21"/>
        <v>733.05070958963927</v>
      </c>
      <c r="D134" s="183">
        <f t="shared" si="13"/>
        <v>184.02690768512142</v>
      </c>
      <c r="E134" s="183">
        <f t="shared" si="14"/>
        <v>0</v>
      </c>
      <c r="F134" s="227"/>
      <c r="G134" s="183">
        <f t="shared" si="15"/>
        <v>184.02690768512142</v>
      </c>
      <c r="H134" s="183">
        <f t="shared" si="16"/>
        <v>182.80515650247202</v>
      </c>
      <c r="I134" s="183">
        <f t="shared" si="17"/>
        <v>1.2217511826493987</v>
      </c>
      <c r="J134" s="184">
        <f t="shared" si="18"/>
        <v>550.24555308716731</v>
      </c>
      <c r="K134" s="51">
        <f t="shared" si="22"/>
        <v>117</v>
      </c>
      <c r="L134" s="48"/>
    </row>
    <row r="135" spans="1:12" x14ac:dyDescent="0.25">
      <c r="A135" s="35">
        <f t="shared" si="19"/>
        <v>118</v>
      </c>
      <c r="B135" s="182">
        <f t="shared" si="20"/>
        <v>48488</v>
      </c>
      <c r="C135" s="183">
        <f t="shared" si="21"/>
        <v>550.24555308716731</v>
      </c>
      <c r="D135" s="183">
        <f t="shared" si="13"/>
        <v>184.02690768512142</v>
      </c>
      <c r="E135" s="183">
        <f t="shared" si="14"/>
        <v>0</v>
      </c>
      <c r="F135" s="227"/>
      <c r="G135" s="183">
        <f t="shared" si="15"/>
        <v>184.02690768512142</v>
      </c>
      <c r="H135" s="183">
        <f t="shared" si="16"/>
        <v>183.10983176330947</v>
      </c>
      <c r="I135" s="183">
        <f t="shared" si="17"/>
        <v>0.91707592181194553</v>
      </c>
      <c r="J135" s="184">
        <f t="shared" si="18"/>
        <v>367.13572132385787</v>
      </c>
      <c r="K135" s="51">
        <f t="shared" si="22"/>
        <v>118</v>
      </c>
      <c r="L135" s="48"/>
    </row>
    <row r="136" spans="1:12" x14ac:dyDescent="0.25">
      <c r="A136" s="35">
        <f t="shared" si="19"/>
        <v>119</v>
      </c>
      <c r="B136" s="182">
        <f t="shared" si="20"/>
        <v>48519</v>
      </c>
      <c r="C136" s="183">
        <f t="shared" si="21"/>
        <v>367.13572132385787</v>
      </c>
      <c r="D136" s="183">
        <f t="shared" si="13"/>
        <v>184.02690768512142</v>
      </c>
      <c r="E136" s="183">
        <f t="shared" si="14"/>
        <v>0</v>
      </c>
      <c r="F136" s="227"/>
      <c r="G136" s="183">
        <f t="shared" si="15"/>
        <v>184.02690768512142</v>
      </c>
      <c r="H136" s="183">
        <f t="shared" si="16"/>
        <v>183.41501481624832</v>
      </c>
      <c r="I136" s="183">
        <f t="shared" si="17"/>
        <v>0.61189286887309646</v>
      </c>
      <c r="J136" s="184">
        <f t="shared" si="18"/>
        <v>183.72070650760955</v>
      </c>
      <c r="K136" s="51">
        <f t="shared" si="22"/>
        <v>119</v>
      </c>
      <c r="L136" s="48"/>
    </row>
    <row r="137" spans="1:12" x14ac:dyDescent="0.25">
      <c r="A137" s="35">
        <f t="shared" si="19"/>
        <v>120</v>
      </c>
      <c r="B137" s="182">
        <f t="shared" si="20"/>
        <v>48549</v>
      </c>
      <c r="C137" s="183">
        <f t="shared" si="21"/>
        <v>183.72070650760955</v>
      </c>
      <c r="D137" s="183">
        <f t="shared" si="13"/>
        <v>184.02690768512142</v>
      </c>
      <c r="E137" s="183">
        <f t="shared" si="14"/>
        <v>0</v>
      </c>
      <c r="F137" s="227"/>
      <c r="G137" s="183">
        <f t="shared" si="15"/>
        <v>184.02690768512142</v>
      </c>
      <c r="H137" s="183">
        <f t="shared" si="16"/>
        <v>183.72070650760872</v>
      </c>
      <c r="I137" s="183">
        <f t="shared" si="17"/>
        <v>0.30620117751268255</v>
      </c>
      <c r="J137" s="184">
        <f t="shared" si="18"/>
        <v>8.2422957348171622E-13</v>
      </c>
      <c r="K137" s="51">
        <f t="shared" si="22"/>
        <v>120</v>
      </c>
      <c r="L137" s="48"/>
    </row>
    <row r="138" spans="1:12" x14ac:dyDescent="0.25">
      <c r="A138" s="35">
        <f t="shared" si="19"/>
        <v>121</v>
      </c>
      <c r="B138" s="182">
        <f t="shared" si="20"/>
        <v>48580</v>
      </c>
      <c r="C138" s="183">
        <f t="shared" si="21"/>
        <v>8.2422957348171622E-13</v>
      </c>
      <c r="D138" s="183">
        <f t="shared" si="13"/>
        <v>184.02690768512142</v>
      </c>
      <c r="E138" s="183">
        <f t="shared" si="14"/>
        <v>0</v>
      </c>
      <c r="F138" s="227"/>
      <c r="G138" s="183">
        <f t="shared" si="15"/>
        <v>184.02690768512142</v>
      </c>
      <c r="H138" s="183">
        <f t="shared" si="16"/>
        <v>184.02690768512142</v>
      </c>
      <c r="I138" s="183">
        <f t="shared" si="17"/>
        <v>1.3737159558028603E-15</v>
      </c>
      <c r="J138" s="184">
        <f t="shared" si="18"/>
        <v>-184.02690768512059</v>
      </c>
      <c r="K138" s="51" t="str">
        <f t="shared" si="22"/>
        <v/>
      </c>
      <c r="L138" s="48"/>
    </row>
    <row r="139" spans="1:12" x14ac:dyDescent="0.25">
      <c r="A139" s="35">
        <f t="shared" si="19"/>
        <v>122</v>
      </c>
      <c r="B139" s="182">
        <f t="shared" si="20"/>
        <v>48611</v>
      </c>
      <c r="C139" s="183">
        <f t="shared" si="21"/>
        <v>-184.02690768512059</v>
      </c>
      <c r="D139" s="183">
        <f t="shared" si="13"/>
        <v>184.02690768512142</v>
      </c>
      <c r="E139" s="183">
        <f t="shared" si="14"/>
        <v>0</v>
      </c>
      <c r="F139" s="227"/>
      <c r="G139" s="183">
        <f t="shared" si="15"/>
        <v>184.02690768512142</v>
      </c>
      <c r="H139" s="183">
        <f t="shared" si="16"/>
        <v>184.33361919792995</v>
      </c>
      <c r="I139" s="183">
        <f t="shared" si="17"/>
        <v>-0.30671151280853431</v>
      </c>
      <c r="J139" s="184">
        <f t="shared" si="18"/>
        <v>-368.36052688305051</v>
      </c>
      <c r="K139" s="51" t="str">
        <f t="shared" si="22"/>
        <v/>
      </c>
      <c r="L139" s="48"/>
    </row>
    <row r="140" spans="1:12" x14ac:dyDescent="0.25">
      <c r="A140" s="35">
        <f t="shared" si="19"/>
        <v>123</v>
      </c>
      <c r="B140" s="182">
        <f t="shared" si="20"/>
        <v>48639</v>
      </c>
      <c r="C140" s="183">
        <f t="shared" si="21"/>
        <v>-368.36052688305051</v>
      </c>
      <c r="D140" s="183">
        <f t="shared" si="13"/>
        <v>184.02690768512142</v>
      </c>
      <c r="E140" s="183">
        <f t="shared" si="14"/>
        <v>0</v>
      </c>
      <c r="F140" s="227"/>
      <c r="G140" s="183">
        <f t="shared" si="15"/>
        <v>184.02690768512142</v>
      </c>
      <c r="H140" s="183">
        <f t="shared" si="16"/>
        <v>184.64084189659317</v>
      </c>
      <c r="I140" s="183">
        <f t="shared" si="17"/>
        <v>-0.61393421147175087</v>
      </c>
      <c r="J140" s="184">
        <f t="shared" si="18"/>
        <v>-553.00136877964371</v>
      </c>
      <c r="K140" s="51" t="str">
        <f t="shared" si="22"/>
        <v/>
      </c>
      <c r="L140" s="48"/>
    </row>
    <row r="141" spans="1:12" x14ac:dyDescent="0.25">
      <c r="A141" s="35">
        <f t="shared" si="19"/>
        <v>124</v>
      </c>
      <c r="B141" s="182">
        <f t="shared" si="20"/>
        <v>48670</v>
      </c>
      <c r="C141" s="183">
        <f t="shared" si="21"/>
        <v>-553.00136877964371</v>
      </c>
      <c r="D141" s="183">
        <f t="shared" si="13"/>
        <v>184.02690768512142</v>
      </c>
      <c r="E141" s="183">
        <f t="shared" si="14"/>
        <v>0</v>
      </c>
      <c r="F141" s="227"/>
      <c r="G141" s="183">
        <f t="shared" si="15"/>
        <v>184.02690768512142</v>
      </c>
      <c r="H141" s="183">
        <f t="shared" si="16"/>
        <v>184.9485766330875</v>
      </c>
      <c r="I141" s="183">
        <f t="shared" si="17"/>
        <v>-0.92166894796607279</v>
      </c>
      <c r="J141" s="184">
        <f t="shared" si="18"/>
        <v>-737.94994541273127</v>
      </c>
      <c r="K141" s="51" t="str">
        <f t="shared" si="22"/>
        <v/>
      </c>
      <c r="L141" s="48"/>
    </row>
    <row r="142" spans="1:12" x14ac:dyDescent="0.25">
      <c r="A142" s="35">
        <f t="shared" si="19"/>
        <v>125</v>
      </c>
      <c r="B142" s="182">
        <f t="shared" si="20"/>
        <v>48700</v>
      </c>
      <c r="C142" s="183">
        <f t="shared" si="21"/>
        <v>-737.94994541273127</v>
      </c>
      <c r="D142" s="183">
        <f t="shared" si="13"/>
        <v>184.02690768512142</v>
      </c>
      <c r="E142" s="183">
        <f t="shared" si="14"/>
        <v>0</v>
      </c>
      <c r="F142" s="227"/>
      <c r="G142" s="183">
        <f t="shared" si="15"/>
        <v>184.02690768512142</v>
      </c>
      <c r="H142" s="183">
        <f t="shared" si="16"/>
        <v>185.25682426080931</v>
      </c>
      <c r="I142" s="183">
        <f t="shared" si="17"/>
        <v>-1.2299165756878854</v>
      </c>
      <c r="J142" s="184">
        <f t="shared" si="18"/>
        <v>-923.20676967354052</v>
      </c>
      <c r="K142" s="51" t="str">
        <f t="shared" si="22"/>
        <v/>
      </c>
      <c r="L142" s="48"/>
    </row>
    <row r="143" spans="1:12" x14ac:dyDescent="0.25">
      <c r="A143" s="35">
        <f t="shared" si="19"/>
        <v>126</v>
      </c>
      <c r="B143" s="182">
        <f t="shared" si="20"/>
        <v>48731</v>
      </c>
      <c r="C143" s="183">
        <f t="shared" si="21"/>
        <v>-923.20676967354052</v>
      </c>
      <c r="D143" s="183">
        <f t="shared" si="13"/>
        <v>184.02690768512142</v>
      </c>
      <c r="E143" s="183">
        <f t="shared" si="14"/>
        <v>0</v>
      </c>
      <c r="F143" s="227"/>
      <c r="G143" s="183">
        <f t="shared" si="15"/>
        <v>184.02690768512142</v>
      </c>
      <c r="H143" s="183">
        <f t="shared" si="16"/>
        <v>185.5655856345773</v>
      </c>
      <c r="I143" s="183">
        <f t="shared" si="17"/>
        <v>-1.5386779494559011</v>
      </c>
      <c r="J143" s="184">
        <f t="shared" si="18"/>
        <v>-1108.7723553081178</v>
      </c>
      <c r="K143" s="51" t="str">
        <f t="shared" si="22"/>
        <v/>
      </c>
      <c r="L143" s="48"/>
    </row>
    <row r="144" spans="1:12" x14ac:dyDescent="0.25">
      <c r="A144" s="35">
        <f t="shared" si="19"/>
        <v>127</v>
      </c>
      <c r="B144" s="182">
        <f t="shared" si="20"/>
        <v>48761</v>
      </c>
      <c r="C144" s="183">
        <f t="shared" si="21"/>
        <v>-1108.7723553081178</v>
      </c>
      <c r="D144" s="183">
        <f t="shared" si="13"/>
        <v>184.02690768512142</v>
      </c>
      <c r="E144" s="183">
        <f t="shared" si="14"/>
        <v>0</v>
      </c>
      <c r="F144" s="227"/>
      <c r="G144" s="183">
        <f t="shared" si="15"/>
        <v>184.02690768512142</v>
      </c>
      <c r="H144" s="183">
        <f t="shared" si="16"/>
        <v>185.87486161063495</v>
      </c>
      <c r="I144" s="183">
        <f t="shared" si="17"/>
        <v>-1.8479539255135295</v>
      </c>
      <c r="J144" s="184">
        <f t="shared" si="18"/>
        <v>-1294.6472169187527</v>
      </c>
      <c r="K144" s="51" t="str">
        <f t="shared" si="22"/>
        <v/>
      </c>
      <c r="L144" s="48"/>
    </row>
    <row r="145" spans="1:12" x14ac:dyDescent="0.25">
      <c r="A145" s="35">
        <f t="shared" si="19"/>
        <v>128</v>
      </c>
      <c r="B145" s="182">
        <f t="shared" si="20"/>
        <v>48792</v>
      </c>
      <c r="C145" s="183">
        <f t="shared" si="21"/>
        <v>-1294.6472169187527</v>
      </c>
      <c r="D145" s="183">
        <f t="shared" si="13"/>
        <v>184.02690768512142</v>
      </c>
      <c r="E145" s="183">
        <f t="shared" si="14"/>
        <v>0</v>
      </c>
      <c r="F145" s="227"/>
      <c r="G145" s="183">
        <f t="shared" si="15"/>
        <v>184.02690768512142</v>
      </c>
      <c r="H145" s="183">
        <f t="shared" si="16"/>
        <v>186.18465304665267</v>
      </c>
      <c r="I145" s="183">
        <f t="shared" si="17"/>
        <v>-2.1577453615312545</v>
      </c>
      <c r="J145" s="184">
        <f t="shared" si="18"/>
        <v>-1480.8318699654055</v>
      </c>
      <c r="K145" s="51" t="str">
        <f t="shared" si="22"/>
        <v/>
      </c>
      <c r="L145" s="48"/>
    </row>
    <row r="146" spans="1:12" x14ac:dyDescent="0.25">
      <c r="A146" s="35">
        <f t="shared" si="19"/>
        <v>129</v>
      </c>
      <c r="B146" s="182">
        <f t="shared" si="20"/>
        <v>48823</v>
      </c>
      <c r="C146" s="183">
        <f t="shared" si="21"/>
        <v>-1480.8318699654055</v>
      </c>
      <c r="D146" s="183">
        <f t="shared" ref="D146:D209" si="23">IF(Pay_Num&lt;&gt;"",Scheduled_Monthly_Payment,"")</f>
        <v>184.02690768512142</v>
      </c>
      <c r="E146" s="183">
        <f t="shared" ref="E146:E209" si="24">IF(Pay_Num&lt;&gt;"",Scheduled_Extra_Payments,"")</f>
        <v>0</v>
      </c>
      <c r="F146" s="227"/>
      <c r="G146" s="183">
        <f t="shared" ref="G146:G209" si="25">IF(Pay_Num&lt;&gt;"",Sched_Pay+Extra_Pay,"")+F146</f>
        <v>184.02690768512142</v>
      </c>
      <c r="H146" s="183">
        <f t="shared" ref="H146:H209" si="26">IF(Pay_Num&lt;&gt;"",Total_Pay-Int,"")</f>
        <v>186.49496080173043</v>
      </c>
      <c r="I146" s="183">
        <f t="shared" ref="I146:I209" si="27">IF(Pay_Num&lt;&gt;"",Beg_Bal*Interest_Rate/12,"")</f>
        <v>-2.4680531166090094</v>
      </c>
      <c r="J146" s="184">
        <f t="shared" ref="J146:J209" si="28">IF(Pay_Num&lt;&gt;"",Beg_Bal-Princ,"")</f>
        <v>-1667.326830767136</v>
      </c>
      <c r="K146" s="51" t="str">
        <f t="shared" si="22"/>
        <v/>
      </c>
      <c r="L146" s="48"/>
    </row>
    <row r="147" spans="1:12" x14ac:dyDescent="0.25">
      <c r="A147" s="35">
        <f t="shared" ref="A147:A210" si="29">IF(Values_Entered,A146+1,"")</f>
        <v>130</v>
      </c>
      <c r="B147" s="182">
        <f t="shared" ref="B147:B210" si="30">IF(Pay_Num&lt;&gt;"",DATE(YEAR(B146),MONTH(B146)+1,DAY(B146)),"")</f>
        <v>48853</v>
      </c>
      <c r="C147" s="183">
        <f t="shared" ref="C147:C210" si="31">IF(Pay_Num&lt;&gt;"",J146,"")</f>
        <v>-1667.326830767136</v>
      </c>
      <c r="D147" s="183">
        <f t="shared" si="23"/>
        <v>184.02690768512142</v>
      </c>
      <c r="E147" s="183">
        <f t="shared" si="24"/>
        <v>0</v>
      </c>
      <c r="F147" s="227"/>
      <c r="G147" s="183">
        <f t="shared" si="25"/>
        <v>184.02690768512142</v>
      </c>
      <c r="H147" s="183">
        <f t="shared" si="26"/>
        <v>186.80578573639997</v>
      </c>
      <c r="I147" s="183">
        <f t="shared" si="27"/>
        <v>-2.7788780512785602</v>
      </c>
      <c r="J147" s="184">
        <f t="shared" si="28"/>
        <v>-1854.1326165035359</v>
      </c>
      <c r="K147" s="51" t="str">
        <f t="shared" ref="K147:K210" si="32">IF(A147&gt;$D$13,"",K146+1)</f>
        <v/>
      </c>
      <c r="L147" s="48"/>
    </row>
    <row r="148" spans="1:12" x14ac:dyDescent="0.25">
      <c r="A148" s="35">
        <f t="shared" si="29"/>
        <v>131</v>
      </c>
      <c r="B148" s="182">
        <f t="shared" si="30"/>
        <v>48884</v>
      </c>
      <c r="C148" s="183">
        <f t="shared" si="31"/>
        <v>-1854.1326165035359</v>
      </c>
      <c r="D148" s="183">
        <f t="shared" si="23"/>
        <v>184.02690768512142</v>
      </c>
      <c r="E148" s="183">
        <f t="shared" si="24"/>
        <v>0</v>
      </c>
      <c r="F148" s="227"/>
      <c r="G148" s="183">
        <f t="shared" si="25"/>
        <v>184.02690768512142</v>
      </c>
      <c r="H148" s="183">
        <f t="shared" si="26"/>
        <v>187.11712871262731</v>
      </c>
      <c r="I148" s="183">
        <f t="shared" si="27"/>
        <v>-3.0902210275058937</v>
      </c>
      <c r="J148" s="184">
        <f t="shared" si="28"/>
        <v>-2041.2497452161633</v>
      </c>
      <c r="K148" s="51" t="str">
        <f t="shared" si="32"/>
        <v/>
      </c>
      <c r="L148" s="48"/>
    </row>
    <row r="149" spans="1:12" x14ac:dyDescent="0.25">
      <c r="A149" s="35">
        <f t="shared" si="29"/>
        <v>132</v>
      </c>
      <c r="B149" s="182">
        <f t="shared" si="30"/>
        <v>48914</v>
      </c>
      <c r="C149" s="183">
        <f t="shared" si="31"/>
        <v>-2041.2497452161633</v>
      </c>
      <c r="D149" s="183">
        <f t="shared" si="23"/>
        <v>184.02690768512142</v>
      </c>
      <c r="E149" s="183">
        <f t="shared" si="24"/>
        <v>0</v>
      </c>
      <c r="F149" s="227"/>
      <c r="G149" s="183">
        <f t="shared" si="25"/>
        <v>184.02690768512142</v>
      </c>
      <c r="H149" s="183">
        <f t="shared" si="26"/>
        <v>187.42899059381503</v>
      </c>
      <c r="I149" s="183">
        <f t="shared" si="27"/>
        <v>-3.4020829086936057</v>
      </c>
      <c r="J149" s="184">
        <f t="shared" si="28"/>
        <v>-2228.6787358099782</v>
      </c>
      <c r="K149" s="51" t="str">
        <f t="shared" si="32"/>
        <v/>
      </c>
      <c r="L149" s="48"/>
    </row>
    <row r="150" spans="1:12" x14ac:dyDescent="0.25">
      <c r="A150" s="35">
        <f t="shared" si="29"/>
        <v>133</v>
      </c>
      <c r="B150" s="182">
        <f t="shared" si="30"/>
        <v>48945</v>
      </c>
      <c r="C150" s="183">
        <f t="shared" si="31"/>
        <v>-2228.6787358099782</v>
      </c>
      <c r="D150" s="183">
        <f t="shared" si="23"/>
        <v>184.02690768512142</v>
      </c>
      <c r="E150" s="183">
        <f t="shared" si="24"/>
        <v>0</v>
      </c>
      <c r="F150" s="227"/>
      <c r="G150" s="183">
        <f t="shared" si="25"/>
        <v>184.02690768512142</v>
      </c>
      <c r="H150" s="183">
        <f t="shared" si="26"/>
        <v>187.74137224480472</v>
      </c>
      <c r="I150" s="183">
        <f t="shared" si="27"/>
        <v>-3.714464559683297</v>
      </c>
      <c r="J150" s="184">
        <f t="shared" si="28"/>
        <v>-2416.4201080547828</v>
      </c>
      <c r="K150" s="51" t="str">
        <f t="shared" si="32"/>
        <v/>
      </c>
      <c r="L150" s="48"/>
    </row>
    <row r="151" spans="1:12" x14ac:dyDescent="0.25">
      <c r="A151" s="35">
        <f t="shared" si="29"/>
        <v>134</v>
      </c>
      <c r="B151" s="182">
        <f t="shared" si="30"/>
        <v>48976</v>
      </c>
      <c r="C151" s="183">
        <f t="shared" si="31"/>
        <v>-2416.4201080547828</v>
      </c>
      <c r="D151" s="183">
        <f t="shared" si="23"/>
        <v>184.02690768512142</v>
      </c>
      <c r="E151" s="183">
        <f t="shared" si="24"/>
        <v>0</v>
      </c>
      <c r="F151" s="227"/>
      <c r="G151" s="183">
        <f t="shared" si="25"/>
        <v>184.02690768512142</v>
      </c>
      <c r="H151" s="183">
        <f t="shared" si="26"/>
        <v>188.0542745318794</v>
      </c>
      <c r="I151" s="183">
        <f t="shared" si="27"/>
        <v>-4.0273668467579711</v>
      </c>
      <c r="J151" s="184">
        <f t="shared" si="28"/>
        <v>-2604.4743825866622</v>
      </c>
      <c r="K151" s="51" t="str">
        <f t="shared" si="32"/>
        <v/>
      </c>
      <c r="L151" s="48"/>
    </row>
    <row r="152" spans="1:12" x14ac:dyDescent="0.25">
      <c r="A152" s="35">
        <f t="shared" si="29"/>
        <v>135</v>
      </c>
      <c r="B152" s="182">
        <f t="shared" si="30"/>
        <v>49004</v>
      </c>
      <c r="C152" s="183">
        <f t="shared" si="31"/>
        <v>-2604.4743825866622</v>
      </c>
      <c r="D152" s="183">
        <f t="shared" si="23"/>
        <v>184.02690768512142</v>
      </c>
      <c r="E152" s="183">
        <f t="shared" si="24"/>
        <v>0</v>
      </c>
      <c r="F152" s="227"/>
      <c r="G152" s="183">
        <f t="shared" si="25"/>
        <v>184.02690768512142</v>
      </c>
      <c r="H152" s="183">
        <f t="shared" si="26"/>
        <v>188.36769832276585</v>
      </c>
      <c r="I152" s="183">
        <f t="shared" si="27"/>
        <v>-4.340790637644437</v>
      </c>
      <c r="J152" s="184">
        <f t="shared" si="28"/>
        <v>-2792.8420809094282</v>
      </c>
      <c r="K152" s="51" t="str">
        <f t="shared" si="32"/>
        <v/>
      </c>
      <c r="L152" s="48"/>
    </row>
    <row r="153" spans="1:12" x14ac:dyDescent="0.25">
      <c r="A153" s="35">
        <f t="shared" si="29"/>
        <v>136</v>
      </c>
      <c r="B153" s="182">
        <f t="shared" si="30"/>
        <v>49035</v>
      </c>
      <c r="C153" s="183">
        <f t="shared" si="31"/>
        <v>-2792.8420809094282</v>
      </c>
      <c r="D153" s="183">
        <f t="shared" si="23"/>
        <v>184.02690768512142</v>
      </c>
      <c r="E153" s="183">
        <f t="shared" si="24"/>
        <v>0</v>
      </c>
      <c r="F153" s="227"/>
      <c r="G153" s="183">
        <f t="shared" si="25"/>
        <v>184.02690768512142</v>
      </c>
      <c r="H153" s="183">
        <f t="shared" si="26"/>
        <v>188.68164448663714</v>
      </c>
      <c r="I153" s="183">
        <f t="shared" si="27"/>
        <v>-4.654736801515714</v>
      </c>
      <c r="J153" s="184">
        <f t="shared" si="28"/>
        <v>-2981.5237253960654</v>
      </c>
      <c r="K153" s="51" t="str">
        <f t="shared" si="32"/>
        <v/>
      </c>
      <c r="L153" s="48"/>
    </row>
    <row r="154" spans="1:12" x14ac:dyDescent="0.25">
      <c r="A154" s="35">
        <f t="shared" si="29"/>
        <v>137</v>
      </c>
      <c r="B154" s="182">
        <f t="shared" si="30"/>
        <v>49065</v>
      </c>
      <c r="C154" s="183">
        <f t="shared" si="31"/>
        <v>-2981.5237253960654</v>
      </c>
      <c r="D154" s="183">
        <f t="shared" si="23"/>
        <v>184.02690768512142</v>
      </c>
      <c r="E154" s="183">
        <f t="shared" si="24"/>
        <v>0</v>
      </c>
      <c r="F154" s="227"/>
      <c r="G154" s="183">
        <f t="shared" si="25"/>
        <v>184.02690768512142</v>
      </c>
      <c r="H154" s="183">
        <f t="shared" si="26"/>
        <v>188.99611389411487</v>
      </c>
      <c r="I154" s="183">
        <f t="shared" si="27"/>
        <v>-4.9692062089934419</v>
      </c>
      <c r="J154" s="184">
        <f t="shared" si="28"/>
        <v>-3170.5198392901802</v>
      </c>
      <c r="K154" s="51" t="str">
        <f t="shared" si="32"/>
        <v/>
      </c>
      <c r="L154" s="48"/>
    </row>
    <row r="155" spans="1:12" x14ac:dyDescent="0.25">
      <c r="A155" s="35">
        <f t="shared" si="29"/>
        <v>138</v>
      </c>
      <c r="B155" s="182">
        <f t="shared" si="30"/>
        <v>49096</v>
      </c>
      <c r="C155" s="183">
        <f t="shared" si="31"/>
        <v>-3170.5198392901802</v>
      </c>
      <c r="D155" s="183">
        <f t="shared" si="23"/>
        <v>184.02690768512142</v>
      </c>
      <c r="E155" s="183">
        <f t="shared" si="24"/>
        <v>0</v>
      </c>
      <c r="F155" s="227"/>
      <c r="G155" s="183">
        <f t="shared" si="25"/>
        <v>184.02690768512142</v>
      </c>
      <c r="H155" s="183">
        <f t="shared" si="26"/>
        <v>189.31110741727173</v>
      </c>
      <c r="I155" s="183">
        <f t="shared" si="27"/>
        <v>-5.2841997321503005</v>
      </c>
      <c r="J155" s="184">
        <f t="shared" si="28"/>
        <v>-3359.8309467074519</v>
      </c>
      <c r="K155" s="51" t="str">
        <f t="shared" si="32"/>
        <v/>
      </c>
      <c r="L155" s="48"/>
    </row>
    <row r="156" spans="1:12" x14ac:dyDescent="0.25">
      <c r="A156" s="35">
        <f t="shared" si="29"/>
        <v>139</v>
      </c>
      <c r="B156" s="182">
        <f t="shared" si="30"/>
        <v>49126</v>
      </c>
      <c r="C156" s="183">
        <f t="shared" si="31"/>
        <v>-3359.8309467074519</v>
      </c>
      <c r="D156" s="183">
        <f t="shared" si="23"/>
        <v>184.02690768512142</v>
      </c>
      <c r="E156" s="183">
        <f t="shared" si="24"/>
        <v>0</v>
      </c>
      <c r="F156" s="227"/>
      <c r="G156" s="183">
        <f t="shared" si="25"/>
        <v>184.02690768512142</v>
      </c>
      <c r="H156" s="183">
        <f t="shared" si="26"/>
        <v>189.62662592963383</v>
      </c>
      <c r="I156" s="183">
        <f t="shared" si="27"/>
        <v>-5.5997182445124203</v>
      </c>
      <c r="J156" s="184">
        <f t="shared" si="28"/>
        <v>-3549.4575726370858</v>
      </c>
      <c r="K156" s="51" t="str">
        <f t="shared" si="32"/>
        <v/>
      </c>
      <c r="L156" s="48"/>
    </row>
    <row r="157" spans="1:12" x14ac:dyDescent="0.25">
      <c r="A157" s="35">
        <f t="shared" si="29"/>
        <v>140</v>
      </c>
      <c r="B157" s="182">
        <f t="shared" si="30"/>
        <v>49157</v>
      </c>
      <c r="C157" s="183">
        <f t="shared" si="31"/>
        <v>-3549.4575726370858</v>
      </c>
      <c r="D157" s="183">
        <f t="shared" si="23"/>
        <v>184.02690768512142</v>
      </c>
      <c r="E157" s="183">
        <f t="shared" si="24"/>
        <v>0</v>
      </c>
      <c r="F157" s="227"/>
      <c r="G157" s="183">
        <f t="shared" si="25"/>
        <v>184.02690768512142</v>
      </c>
      <c r="H157" s="183">
        <f t="shared" si="26"/>
        <v>189.94267030618323</v>
      </c>
      <c r="I157" s="183">
        <f t="shared" si="27"/>
        <v>-5.9157626210618099</v>
      </c>
      <c r="J157" s="184">
        <f t="shared" si="28"/>
        <v>-3739.4002429432689</v>
      </c>
      <c r="K157" s="51" t="str">
        <f t="shared" si="32"/>
        <v/>
      </c>
      <c r="L157" s="48"/>
    </row>
    <row r="158" spans="1:12" x14ac:dyDescent="0.25">
      <c r="A158" s="35">
        <f t="shared" si="29"/>
        <v>141</v>
      </c>
      <c r="B158" s="182">
        <f t="shared" si="30"/>
        <v>49188</v>
      </c>
      <c r="C158" s="183">
        <f t="shared" si="31"/>
        <v>-3739.4002429432689</v>
      </c>
      <c r="D158" s="183">
        <f t="shared" si="23"/>
        <v>184.02690768512142</v>
      </c>
      <c r="E158" s="183">
        <f t="shared" si="24"/>
        <v>0</v>
      </c>
      <c r="F158" s="227"/>
      <c r="G158" s="183">
        <f t="shared" si="25"/>
        <v>184.02690768512142</v>
      </c>
      <c r="H158" s="183">
        <f t="shared" si="26"/>
        <v>190.25924142336021</v>
      </c>
      <c r="I158" s="183">
        <f t="shared" si="27"/>
        <v>-6.2323337382387818</v>
      </c>
      <c r="J158" s="184">
        <f t="shared" si="28"/>
        <v>-3929.6594843666289</v>
      </c>
      <c r="K158" s="51" t="str">
        <f t="shared" si="32"/>
        <v/>
      </c>
      <c r="L158" s="48"/>
    </row>
    <row r="159" spans="1:12" x14ac:dyDescent="0.25">
      <c r="A159" s="35">
        <f t="shared" si="29"/>
        <v>142</v>
      </c>
      <c r="B159" s="182">
        <f t="shared" si="30"/>
        <v>49218</v>
      </c>
      <c r="C159" s="183">
        <f t="shared" si="31"/>
        <v>-3929.6594843666289</v>
      </c>
      <c r="D159" s="183">
        <f t="shared" si="23"/>
        <v>184.02690768512142</v>
      </c>
      <c r="E159" s="183">
        <f t="shared" si="24"/>
        <v>0</v>
      </c>
      <c r="F159" s="227"/>
      <c r="G159" s="183">
        <f t="shared" si="25"/>
        <v>184.02690768512142</v>
      </c>
      <c r="H159" s="183">
        <f t="shared" si="26"/>
        <v>190.57634015906581</v>
      </c>
      <c r="I159" s="183">
        <f t="shared" si="27"/>
        <v>-6.5494324739443819</v>
      </c>
      <c r="J159" s="184">
        <f t="shared" si="28"/>
        <v>-4120.2358245256946</v>
      </c>
      <c r="K159" s="51" t="str">
        <f t="shared" si="32"/>
        <v/>
      </c>
      <c r="L159" s="48"/>
    </row>
    <row r="160" spans="1:12" x14ac:dyDescent="0.25">
      <c r="A160" s="35">
        <f t="shared" si="29"/>
        <v>143</v>
      </c>
      <c r="B160" s="182">
        <f t="shared" si="30"/>
        <v>49249</v>
      </c>
      <c r="C160" s="183">
        <f t="shared" si="31"/>
        <v>-4120.2358245256946</v>
      </c>
      <c r="D160" s="183">
        <f t="shared" si="23"/>
        <v>184.02690768512142</v>
      </c>
      <c r="E160" s="183">
        <f t="shared" si="24"/>
        <v>0</v>
      </c>
      <c r="F160" s="227"/>
      <c r="G160" s="183">
        <f t="shared" si="25"/>
        <v>184.02690768512142</v>
      </c>
      <c r="H160" s="183">
        <f t="shared" si="26"/>
        <v>190.89396739266425</v>
      </c>
      <c r="I160" s="183">
        <f t="shared" si="27"/>
        <v>-6.8670597075428246</v>
      </c>
      <c r="J160" s="184">
        <f t="shared" si="28"/>
        <v>-4311.1297919183589</v>
      </c>
      <c r="K160" s="51" t="str">
        <f t="shared" si="32"/>
        <v/>
      </c>
      <c r="L160" s="48"/>
    </row>
    <row r="161" spans="1:12" x14ac:dyDescent="0.25">
      <c r="A161" s="35">
        <f t="shared" si="29"/>
        <v>144</v>
      </c>
      <c r="B161" s="182">
        <f t="shared" si="30"/>
        <v>49279</v>
      </c>
      <c r="C161" s="183">
        <f t="shared" si="31"/>
        <v>-4311.1297919183589</v>
      </c>
      <c r="D161" s="183">
        <f t="shared" si="23"/>
        <v>184.02690768512142</v>
      </c>
      <c r="E161" s="183">
        <f t="shared" si="24"/>
        <v>0</v>
      </c>
      <c r="F161" s="227"/>
      <c r="G161" s="183">
        <f t="shared" si="25"/>
        <v>184.02690768512142</v>
      </c>
      <c r="H161" s="183">
        <f t="shared" si="26"/>
        <v>191.21212400498536</v>
      </c>
      <c r="I161" s="183">
        <f t="shared" si="27"/>
        <v>-7.1852163198639323</v>
      </c>
      <c r="J161" s="184">
        <f t="shared" si="28"/>
        <v>-4502.3419159233445</v>
      </c>
      <c r="K161" s="51" t="str">
        <f t="shared" si="32"/>
        <v/>
      </c>
      <c r="L161" s="48"/>
    </row>
    <row r="162" spans="1:12" x14ac:dyDescent="0.25">
      <c r="A162" s="35">
        <f t="shared" si="29"/>
        <v>145</v>
      </c>
      <c r="B162" s="182">
        <f t="shared" si="30"/>
        <v>49310</v>
      </c>
      <c r="C162" s="183">
        <f t="shared" si="31"/>
        <v>-4502.3419159233445</v>
      </c>
      <c r="D162" s="183">
        <f t="shared" si="23"/>
        <v>184.02690768512142</v>
      </c>
      <c r="E162" s="183">
        <f t="shared" si="24"/>
        <v>0</v>
      </c>
      <c r="F162" s="227"/>
      <c r="G162" s="183">
        <f t="shared" si="25"/>
        <v>184.02690768512142</v>
      </c>
      <c r="H162" s="183">
        <f t="shared" si="26"/>
        <v>191.530810878327</v>
      </c>
      <c r="I162" s="183">
        <f t="shared" si="27"/>
        <v>-7.5039031932055744</v>
      </c>
      <c r="J162" s="184">
        <f t="shared" si="28"/>
        <v>-4693.8727268016719</v>
      </c>
      <c r="K162" s="51" t="str">
        <f t="shared" si="32"/>
        <v/>
      </c>
      <c r="L162" s="48"/>
    </row>
    <row r="163" spans="1:12" x14ac:dyDescent="0.25">
      <c r="A163" s="35">
        <f t="shared" si="29"/>
        <v>146</v>
      </c>
      <c r="B163" s="182">
        <f t="shared" si="30"/>
        <v>49341</v>
      </c>
      <c r="C163" s="183">
        <f t="shared" si="31"/>
        <v>-4693.8727268016719</v>
      </c>
      <c r="D163" s="183">
        <f t="shared" si="23"/>
        <v>184.02690768512142</v>
      </c>
      <c r="E163" s="183">
        <f t="shared" si="24"/>
        <v>0</v>
      </c>
      <c r="F163" s="227"/>
      <c r="G163" s="183">
        <f t="shared" si="25"/>
        <v>184.02690768512142</v>
      </c>
      <c r="H163" s="183">
        <f t="shared" si="26"/>
        <v>191.85002889645753</v>
      </c>
      <c r="I163" s="183">
        <f t="shared" si="27"/>
        <v>-7.8231212113361197</v>
      </c>
      <c r="J163" s="184">
        <f t="shared" si="28"/>
        <v>-4885.7227556981297</v>
      </c>
      <c r="K163" s="51" t="str">
        <f t="shared" si="32"/>
        <v/>
      </c>
      <c r="L163" s="48"/>
    </row>
    <row r="164" spans="1:12" x14ac:dyDescent="0.25">
      <c r="A164" s="35">
        <f t="shared" si="29"/>
        <v>147</v>
      </c>
      <c r="B164" s="182">
        <f t="shared" si="30"/>
        <v>49369</v>
      </c>
      <c r="C164" s="183">
        <f t="shared" si="31"/>
        <v>-4885.7227556981297</v>
      </c>
      <c r="D164" s="183">
        <f t="shared" si="23"/>
        <v>184.02690768512142</v>
      </c>
      <c r="E164" s="183">
        <f t="shared" si="24"/>
        <v>0</v>
      </c>
      <c r="F164" s="227"/>
      <c r="G164" s="183">
        <f t="shared" si="25"/>
        <v>184.02690768512142</v>
      </c>
      <c r="H164" s="183">
        <f t="shared" si="26"/>
        <v>192.16977894461829</v>
      </c>
      <c r="I164" s="183">
        <f t="shared" si="27"/>
        <v>-8.142871259496884</v>
      </c>
      <c r="J164" s="184">
        <f t="shared" si="28"/>
        <v>-5077.8925346427477</v>
      </c>
      <c r="K164" s="51" t="str">
        <f t="shared" si="32"/>
        <v/>
      </c>
      <c r="L164" s="48"/>
    </row>
    <row r="165" spans="1:12" x14ac:dyDescent="0.25">
      <c r="A165" s="35">
        <f t="shared" si="29"/>
        <v>148</v>
      </c>
      <c r="B165" s="182">
        <f t="shared" si="30"/>
        <v>49400</v>
      </c>
      <c r="C165" s="183">
        <f t="shared" si="31"/>
        <v>-5077.8925346427477</v>
      </c>
      <c r="D165" s="183">
        <f t="shared" si="23"/>
        <v>184.02690768512142</v>
      </c>
      <c r="E165" s="183">
        <f t="shared" si="24"/>
        <v>0</v>
      </c>
      <c r="F165" s="227"/>
      <c r="G165" s="183">
        <f t="shared" si="25"/>
        <v>184.02690768512142</v>
      </c>
      <c r="H165" s="183">
        <f t="shared" si="26"/>
        <v>192.49006190952599</v>
      </c>
      <c r="I165" s="183">
        <f t="shared" si="27"/>
        <v>-8.4631542244045797</v>
      </c>
      <c r="J165" s="184">
        <f t="shared" si="28"/>
        <v>-5270.3825965522738</v>
      </c>
      <c r="K165" s="51" t="str">
        <f t="shared" si="32"/>
        <v/>
      </c>
      <c r="L165" s="48"/>
    </row>
    <row r="166" spans="1:12" x14ac:dyDescent="0.25">
      <c r="A166" s="35">
        <f t="shared" si="29"/>
        <v>149</v>
      </c>
      <c r="B166" s="182">
        <f t="shared" si="30"/>
        <v>49430</v>
      </c>
      <c r="C166" s="183">
        <f t="shared" si="31"/>
        <v>-5270.3825965522738</v>
      </c>
      <c r="D166" s="183">
        <f t="shared" si="23"/>
        <v>184.02690768512142</v>
      </c>
      <c r="E166" s="183">
        <f t="shared" si="24"/>
        <v>0</v>
      </c>
      <c r="F166" s="227"/>
      <c r="G166" s="183">
        <f t="shared" si="25"/>
        <v>184.02690768512142</v>
      </c>
      <c r="H166" s="183">
        <f t="shared" si="26"/>
        <v>192.81087867937521</v>
      </c>
      <c r="I166" s="183">
        <f t="shared" si="27"/>
        <v>-8.7839709942537905</v>
      </c>
      <c r="J166" s="184">
        <f t="shared" si="28"/>
        <v>-5463.1934752316492</v>
      </c>
      <c r="K166" s="51" t="str">
        <f t="shared" si="32"/>
        <v/>
      </c>
      <c r="L166" s="48"/>
    </row>
    <row r="167" spans="1:12" x14ac:dyDescent="0.25">
      <c r="A167" s="35">
        <f t="shared" si="29"/>
        <v>150</v>
      </c>
      <c r="B167" s="182">
        <f t="shared" si="30"/>
        <v>49461</v>
      </c>
      <c r="C167" s="183">
        <f t="shared" si="31"/>
        <v>-5463.1934752316492</v>
      </c>
      <c r="D167" s="183">
        <f t="shared" si="23"/>
        <v>184.02690768512142</v>
      </c>
      <c r="E167" s="183">
        <f t="shared" si="24"/>
        <v>0</v>
      </c>
      <c r="F167" s="227"/>
      <c r="G167" s="183">
        <f t="shared" si="25"/>
        <v>184.02690768512142</v>
      </c>
      <c r="H167" s="183">
        <f t="shared" si="26"/>
        <v>193.13223014384084</v>
      </c>
      <c r="I167" s="183">
        <f t="shared" si="27"/>
        <v>-9.1053224587194155</v>
      </c>
      <c r="J167" s="184">
        <f t="shared" si="28"/>
        <v>-5656.3257053754896</v>
      </c>
      <c r="K167" s="51" t="str">
        <f t="shared" si="32"/>
        <v/>
      </c>
      <c r="L167" s="48"/>
    </row>
    <row r="168" spans="1:12" x14ac:dyDescent="0.25">
      <c r="A168" s="35">
        <f t="shared" si="29"/>
        <v>151</v>
      </c>
      <c r="B168" s="182">
        <f t="shared" si="30"/>
        <v>49491</v>
      </c>
      <c r="C168" s="183">
        <f t="shared" si="31"/>
        <v>-5656.3257053754896</v>
      </c>
      <c r="D168" s="183">
        <f t="shared" si="23"/>
        <v>184.02690768512142</v>
      </c>
      <c r="E168" s="183">
        <f t="shared" si="24"/>
        <v>0</v>
      </c>
      <c r="F168" s="227"/>
      <c r="G168" s="183">
        <f t="shared" si="25"/>
        <v>184.02690768512142</v>
      </c>
      <c r="H168" s="183">
        <f t="shared" si="26"/>
        <v>193.45411719408057</v>
      </c>
      <c r="I168" s="183">
        <f t="shared" si="27"/>
        <v>-9.4272095089591499</v>
      </c>
      <c r="J168" s="184">
        <f t="shared" si="28"/>
        <v>-5849.7798225695706</v>
      </c>
      <c r="K168" s="51" t="str">
        <f t="shared" si="32"/>
        <v/>
      </c>
      <c r="L168" s="48"/>
    </row>
    <row r="169" spans="1:12" x14ac:dyDescent="0.25">
      <c r="A169" s="35">
        <f t="shared" si="29"/>
        <v>152</v>
      </c>
      <c r="B169" s="182">
        <f t="shared" si="30"/>
        <v>49522</v>
      </c>
      <c r="C169" s="183">
        <f t="shared" si="31"/>
        <v>-5849.7798225695706</v>
      </c>
      <c r="D169" s="183">
        <f t="shared" si="23"/>
        <v>184.02690768512142</v>
      </c>
      <c r="E169" s="183">
        <f t="shared" si="24"/>
        <v>0</v>
      </c>
      <c r="F169" s="227"/>
      <c r="G169" s="183">
        <f t="shared" si="25"/>
        <v>184.02690768512142</v>
      </c>
      <c r="H169" s="183">
        <f t="shared" si="26"/>
        <v>193.77654072273737</v>
      </c>
      <c r="I169" s="183">
        <f t="shared" si="27"/>
        <v>-9.7496330376159506</v>
      </c>
      <c r="J169" s="184">
        <f t="shared" si="28"/>
        <v>-6043.5563632923077</v>
      </c>
      <c r="K169" s="51" t="str">
        <f t="shared" si="32"/>
        <v/>
      </c>
      <c r="L169" s="48"/>
    </row>
    <row r="170" spans="1:12" x14ac:dyDescent="0.25">
      <c r="A170" s="35">
        <f t="shared" si="29"/>
        <v>153</v>
      </c>
      <c r="B170" s="182">
        <f t="shared" si="30"/>
        <v>49553</v>
      </c>
      <c r="C170" s="183">
        <f t="shared" si="31"/>
        <v>-6043.5563632923077</v>
      </c>
      <c r="D170" s="183">
        <f t="shared" si="23"/>
        <v>184.02690768512142</v>
      </c>
      <c r="E170" s="183">
        <f t="shared" si="24"/>
        <v>0</v>
      </c>
      <c r="F170" s="227"/>
      <c r="G170" s="183">
        <f t="shared" si="25"/>
        <v>184.02690768512142</v>
      </c>
      <c r="H170" s="183">
        <f t="shared" si="26"/>
        <v>194.09950162394193</v>
      </c>
      <c r="I170" s="183">
        <f t="shared" si="27"/>
        <v>-10.072593938820512</v>
      </c>
      <c r="J170" s="184">
        <f t="shared" si="28"/>
        <v>-6237.6558649162498</v>
      </c>
      <c r="K170" s="51" t="str">
        <f t="shared" si="32"/>
        <v/>
      </c>
      <c r="L170" s="48"/>
    </row>
    <row r="171" spans="1:12" x14ac:dyDescent="0.25">
      <c r="A171" s="35">
        <f t="shared" si="29"/>
        <v>154</v>
      </c>
      <c r="B171" s="182">
        <f t="shared" si="30"/>
        <v>49583</v>
      </c>
      <c r="C171" s="183">
        <f t="shared" si="31"/>
        <v>-6237.6558649162498</v>
      </c>
      <c r="D171" s="183">
        <f t="shared" si="23"/>
        <v>184.02690768512142</v>
      </c>
      <c r="E171" s="183">
        <f t="shared" si="24"/>
        <v>0</v>
      </c>
      <c r="F171" s="227"/>
      <c r="G171" s="183">
        <f t="shared" si="25"/>
        <v>184.02690768512142</v>
      </c>
      <c r="H171" s="183">
        <f t="shared" si="26"/>
        <v>194.42300079331517</v>
      </c>
      <c r="I171" s="183">
        <f t="shared" si="27"/>
        <v>-10.39609310819375</v>
      </c>
      <c r="J171" s="184">
        <f t="shared" si="28"/>
        <v>-6432.0788657095654</v>
      </c>
      <c r="K171" s="51" t="str">
        <f t="shared" si="32"/>
        <v/>
      </c>
      <c r="L171" s="48"/>
    </row>
    <row r="172" spans="1:12" x14ac:dyDescent="0.25">
      <c r="A172" s="35">
        <f t="shared" si="29"/>
        <v>155</v>
      </c>
      <c r="B172" s="182">
        <f t="shared" si="30"/>
        <v>49614</v>
      </c>
      <c r="C172" s="183">
        <f t="shared" si="31"/>
        <v>-6432.0788657095654</v>
      </c>
      <c r="D172" s="183">
        <f t="shared" si="23"/>
        <v>184.02690768512142</v>
      </c>
      <c r="E172" s="183">
        <f t="shared" si="24"/>
        <v>0</v>
      </c>
      <c r="F172" s="227"/>
      <c r="G172" s="183">
        <f t="shared" si="25"/>
        <v>184.02690768512142</v>
      </c>
      <c r="H172" s="183">
        <f t="shared" si="26"/>
        <v>194.74703912797068</v>
      </c>
      <c r="I172" s="183">
        <f t="shared" si="27"/>
        <v>-10.720131442849278</v>
      </c>
      <c r="J172" s="184">
        <f t="shared" si="28"/>
        <v>-6626.8259048375357</v>
      </c>
      <c r="K172" s="51" t="str">
        <f t="shared" si="32"/>
        <v/>
      </c>
      <c r="L172" s="48"/>
    </row>
    <row r="173" spans="1:12" x14ac:dyDescent="0.25">
      <c r="A173" s="35">
        <f t="shared" si="29"/>
        <v>156</v>
      </c>
      <c r="B173" s="182">
        <f t="shared" si="30"/>
        <v>49644</v>
      </c>
      <c r="C173" s="183">
        <f t="shared" si="31"/>
        <v>-6626.8259048375357</v>
      </c>
      <c r="D173" s="183">
        <f t="shared" si="23"/>
        <v>184.02690768512142</v>
      </c>
      <c r="E173" s="183">
        <f t="shared" si="24"/>
        <v>0</v>
      </c>
      <c r="F173" s="227"/>
      <c r="G173" s="183">
        <f t="shared" si="25"/>
        <v>184.02690768512142</v>
      </c>
      <c r="H173" s="183">
        <f t="shared" si="26"/>
        <v>195.07161752651731</v>
      </c>
      <c r="I173" s="183">
        <f t="shared" si="27"/>
        <v>-11.044709841395893</v>
      </c>
      <c r="J173" s="184">
        <f t="shared" si="28"/>
        <v>-6821.8975223640527</v>
      </c>
      <c r="K173" s="51" t="str">
        <f t="shared" si="32"/>
        <v/>
      </c>
      <c r="L173" s="48"/>
    </row>
    <row r="174" spans="1:12" x14ac:dyDescent="0.25">
      <c r="A174" s="35">
        <f t="shared" si="29"/>
        <v>157</v>
      </c>
      <c r="B174" s="182">
        <f t="shared" si="30"/>
        <v>49675</v>
      </c>
      <c r="C174" s="183">
        <f t="shared" si="31"/>
        <v>-6821.8975223640527</v>
      </c>
      <c r="D174" s="183">
        <f t="shared" si="23"/>
        <v>184.02690768512142</v>
      </c>
      <c r="E174" s="183">
        <f t="shared" si="24"/>
        <v>0</v>
      </c>
      <c r="F174" s="227"/>
      <c r="G174" s="183">
        <f t="shared" si="25"/>
        <v>184.02690768512142</v>
      </c>
      <c r="H174" s="183">
        <f t="shared" si="26"/>
        <v>195.39673688906151</v>
      </c>
      <c r="I174" s="183">
        <f t="shared" si="27"/>
        <v>-11.369829203940087</v>
      </c>
      <c r="J174" s="184">
        <f t="shared" si="28"/>
        <v>-7017.2942592531144</v>
      </c>
      <c r="K174" s="51" t="str">
        <f t="shared" si="32"/>
        <v/>
      </c>
      <c r="L174" s="48"/>
    </row>
    <row r="175" spans="1:12" x14ac:dyDescent="0.25">
      <c r="A175" s="35">
        <f t="shared" si="29"/>
        <v>158</v>
      </c>
      <c r="B175" s="182">
        <f t="shared" si="30"/>
        <v>49706</v>
      </c>
      <c r="C175" s="183">
        <f t="shared" si="31"/>
        <v>-7017.2942592531144</v>
      </c>
      <c r="D175" s="183">
        <f t="shared" si="23"/>
        <v>184.02690768512142</v>
      </c>
      <c r="E175" s="183">
        <f t="shared" si="24"/>
        <v>0</v>
      </c>
      <c r="F175" s="227"/>
      <c r="G175" s="183">
        <f t="shared" si="25"/>
        <v>184.02690768512142</v>
      </c>
      <c r="H175" s="183">
        <f t="shared" si="26"/>
        <v>195.72239811720993</v>
      </c>
      <c r="I175" s="183">
        <f t="shared" si="27"/>
        <v>-11.695490432088524</v>
      </c>
      <c r="J175" s="184">
        <f t="shared" si="28"/>
        <v>-7213.0166573703245</v>
      </c>
      <c r="K175" s="51" t="str">
        <f t="shared" si="32"/>
        <v/>
      </c>
      <c r="L175" s="48"/>
    </row>
    <row r="176" spans="1:12" x14ac:dyDescent="0.25">
      <c r="A176" s="35">
        <f t="shared" si="29"/>
        <v>159</v>
      </c>
      <c r="B176" s="182">
        <f t="shared" si="30"/>
        <v>49735</v>
      </c>
      <c r="C176" s="183">
        <f t="shared" si="31"/>
        <v>-7213.0166573703245</v>
      </c>
      <c r="D176" s="183">
        <f t="shared" si="23"/>
        <v>184.02690768512142</v>
      </c>
      <c r="E176" s="183">
        <f t="shared" si="24"/>
        <v>0</v>
      </c>
      <c r="F176" s="227"/>
      <c r="G176" s="183">
        <f t="shared" si="25"/>
        <v>184.02690768512142</v>
      </c>
      <c r="H176" s="183">
        <f t="shared" si="26"/>
        <v>196.04860211407197</v>
      </c>
      <c r="I176" s="183">
        <f t="shared" si="27"/>
        <v>-12.021694428950541</v>
      </c>
      <c r="J176" s="184">
        <f t="shared" si="28"/>
        <v>-7409.0652594843968</v>
      </c>
      <c r="K176" s="51" t="str">
        <f t="shared" si="32"/>
        <v/>
      </c>
      <c r="L176" s="48"/>
    </row>
    <row r="177" spans="1:12" x14ac:dyDescent="0.25">
      <c r="A177" s="35">
        <f t="shared" si="29"/>
        <v>160</v>
      </c>
      <c r="B177" s="182">
        <f t="shared" si="30"/>
        <v>49766</v>
      </c>
      <c r="C177" s="183">
        <f t="shared" si="31"/>
        <v>-7409.0652594843968</v>
      </c>
      <c r="D177" s="183">
        <f t="shared" si="23"/>
        <v>184.02690768512142</v>
      </c>
      <c r="E177" s="183">
        <f t="shared" si="24"/>
        <v>0</v>
      </c>
      <c r="F177" s="227"/>
      <c r="G177" s="183">
        <f t="shared" si="25"/>
        <v>184.02690768512142</v>
      </c>
      <c r="H177" s="183">
        <f t="shared" si="26"/>
        <v>196.37534978426208</v>
      </c>
      <c r="I177" s="183">
        <f t="shared" si="27"/>
        <v>-12.348442099140662</v>
      </c>
      <c r="J177" s="184">
        <f t="shared" si="28"/>
        <v>-7605.4406092686586</v>
      </c>
      <c r="K177" s="51" t="str">
        <f t="shared" si="32"/>
        <v/>
      </c>
      <c r="L177" s="48"/>
    </row>
    <row r="178" spans="1:12" x14ac:dyDescent="0.25">
      <c r="A178" s="35">
        <f t="shared" si="29"/>
        <v>161</v>
      </c>
      <c r="B178" s="182">
        <f t="shared" si="30"/>
        <v>49796</v>
      </c>
      <c r="C178" s="183">
        <f t="shared" si="31"/>
        <v>-7605.4406092686586</v>
      </c>
      <c r="D178" s="183">
        <f t="shared" si="23"/>
        <v>184.02690768512142</v>
      </c>
      <c r="E178" s="183">
        <f t="shared" si="24"/>
        <v>0</v>
      </c>
      <c r="F178" s="227"/>
      <c r="G178" s="183">
        <f t="shared" si="25"/>
        <v>184.02690768512142</v>
      </c>
      <c r="H178" s="183">
        <f t="shared" si="26"/>
        <v>196.70264203390252</v>
      </c>
      <c r="I178" s="183">
        <f t="shared" si="27"/>
        <v>-12.675734348781099</v>
      </c>
      <c r="J178" s="184">
        <f t="shared" si="28"/>
        <v>-7802.1432513025611</v>
      </c>
      <c r="K178" s="51" t="str">
        <f t="shared" si="32"/>
        <v/>
      </c>
      <c r="L178" s="48"/>
    </row>
    <row r="179" spans="1:12" x14ac:dyDescent="0.25">
      <c r="A179" s="35">
        <f t="shared" si="29"/>
        <v>162</v>
      </c>
      <c r="B179" s="182">
        <f t="shared" si="30"/>
        <v>49827</v>
      </c>
      <c r="C179" s="183">
        <f t="shared" si="31"/>
        <v>-7802.1432513025611</v>
      </c>
      <c r="D179" s="183">
        <f t="shared" si="23"/>
        <v>184.02690768512142</v>
      </c>
      <c r="E179" s="183">
        <f t="shared" si="24"/>
        <v>0</v>
      </c>
      <c r="F179" s="227"/>
      <c r="G179" s="183">
        <f t="shared" si="25"/>
        <v>184.02690768512142</v>
      </c>
      <c r="H179" s="183">
        <f t="shared" si="26"/>
        <v>197.03047977062567</v>
      </c>
      <c r="I179" s="183">
        <f t="shared" si="27"/>
        <v>-13.003572085504269</v>
      </c>
      <c r="J179" s="184">
        <f t="shared" si="28"/>
        <v>-7999.1737310731869</v>
      </c>
      <c r="K179" s="51" t="str">
        <f t="shared" si="32"/>
        <v/>
      </c>
      <c r="L179" s="48"/>
    </row>
    <row r="180" spans="1:12" x14ac:dyDescent="0.25">
      <c r="A180" s="35">
        <f t="shared" si="29"/>
        <v>163</v>
      </c>
      <c r="B180" s="182">
        <f t="shared" si="30"/>
        <v>49857</v>
      </c>
      <c r="C180" s="183">
        <f t="shared" si="31"/>
        <v>-7999.1737310731869</v>
      </c>
      <c r="D180" s="183">
        <f t="shared" si="23"/>
        <v>184.02690768512142</v>
      </c>
      <c r="E180" s="183">
        <f t="shared" si="24"/>
        <v>0</v>
      </c>
      <c r="F180" s="227"/>
      <c r="G180" s="183">
        <f t="shared" si="25"/>
        <v>184.02690768512142</v>
      </c>
      <c r="H180" s="183">
        <f t="shared" si="26"/>
        <v>197.35886390357672</v>
      </c>
      <c r="I180" s="183">
        <f t="shared" si="27"/>
        <v>-13.331956218455311</v>
      </c>
      <c r="J180" s="184">
        <f t="shared" si="28"/>
        <v>-8196.532594976763</v>
      </c>
      <c r="K180" s="51" t="str">
        <f t="shared" si="32"/>
        <v/>
      </c>
      <c r="L180" s="48"/>
    </row>
    <row r="181" spans="1:12" x14ac:dyDescent="0.25">
      <c r="A181" s="35">
        <f t="shared" si="29"/>
        <v>164</v>
      </c>
      <c r="B181" s="182">
        <f t="shared" si="30"/>
        <v>49888</v>
      </c>
      <c r="C181" s="183">
        <f t="shared" si="31"/>
        <v>-8196.532594976763</v>
      </c>
      <c r="D181" s="183">
        <f t="shared" si="23"/>
        <v>184.02690768512142</v>
      </c>
      <c r="E181" s="183">
        <f t="shared" si="24"/>
        <v>0</v>
      </c>
      <c r="F181" s="227"/>
      <c r="G181" s="183">
        <f t="shared" si="25"/>
        <v>184.02690768512142</v>
      </c>
      <c r="H181" s="183">
        <f t="shared" si="26"/>
        <v>197.68779534341601</v>
      </c>
      <c r="I181" s="183">
        <f t="shared" si="27"/>
        <v>-13.660887658294605</v>
      </c>
      <c r="J181" s="184">
        <f t="shared" si="28"/>
        <v>-8394.2203903201789</v>
      </c>
      <c r="K181" s="51" t="str">
        <f t="shared" si="32"/>
        <v/>
      </c>
      <c r="L181" s="48"/>
    </row>
    <row r="182" spans="1:12" x14ac:dyDescent="0.25">
      <c r="A182" s="35">
        <f t="shared" si="29"/>
        <v>165</v>
      </c>
      <c r="B182" s="182">
        <f t="shared" si="30"/>
        <v>49919</v>
      </c>
      <c r="C182" s="183">
        <f t="shared" si="31"/>
        <v>-8394.2203903201789</v>
      </c>
      <c r="D182" s="183">
        <f t="shared" si="23"/>
        <v>184.02690768512142</v>
      </c>
      <c r="E182" s="183">
        <f t="shared" si="24"/>
        <v>0</v>
      </c>
      <c r="F182" s="227"/>
      <c r="G182" s="183">
        <f t="shared" si="25"/>
        <v>184.02690768512142</v>
      </c>
      <c r="H182" s="183">
        <f t="shared" si="26"/>
        <v>198.01727500232172</v>
      </c>
      <c r="I182" s="183">
        <f t="shared" si="27"/>
        <v>-13.990367317200297</v>
      </c>
      <c r="J182" s="184">
        <f t="shared" si="28"/>
        <v>-8592.2376653225001</v>
      </c>
      <c r="K182" s="51" t="str">
        <f t="shared" si="32"/>
        <v/>
      </c>
      <c r="L182" s="48"/>
    </row>
    <row r="183" spans="1:12" x14ac:dyDescent="0.25">
      <c r="A183" s="35">
        <f t="shared" si="29"/>
        <v>166</v>
      </c>
      <c r="B183" s="182">
        <f t="shared" si="30"/>
        <v>49949</v>
      </c>
      <c r="C183" s="183">
        <f t="shared" si="31"/>
        <v>-8592.2376653225001</v>
      </c>
      <c r="D183" s="183">
        <f t="shared" si="23"/>
        <v>184.02690768512142</v>
      </c>
      <c r="E183" s="183">
        <f t="shared" si="24"/>
        <v>0</v>
      </c>
      <c r="F183" s="227"/>
      <c r="G183" s="183">
        <f t="shared" si="25"/>
        <v>184.02690768512142</v>
      </c>
      <c r="H183" s="183">
        <f t="shared" si="26"/>
        <v>198.34730379399224</v>
      </c>
      <c r="I183" s="183">
        <f t="shared" si="27"/>
        <v>-14.320396108870833</v>
      </c>
      <c r="J183" s="184">
        <f t="shared" si="28"/>
        <v>-8790.5849691164931</v>
      </c>
      <c r="K183" s="51" t="str">
        <f t="shared" si="32"/>
        <v/>
      </c>
      <c r="L183" s="48"/>
    </row>
    <row r="184" spans="1:12" x14ac:dyDescent="0.25">
      <c r="A184" s="35">
        <f t="shared" si="29"/>
        <v>167</v>
      </c>
      <c r="B184" s="182">
        <f t="shared" si="30"/>
        <v>49980</v>
      </c>
      <c r="C184" s="183">
        <f t="shared" si="31"/>
        <v>-8790.5849691164931</v>
      </c>
      <c r="D184" s="183">
        <f t="shared" si="23"/>
        <v>184.02690768512142</v>
      </c>
      <c r="E184" s="183">
        <f t="shared" si="24"/>
        <v>0</v>
      </c>
      <c r="F184" s="227"/>
      <c r="G184" s="183">
        <f t="shared" si="25"/>
        <v>184.02690768512142</v>
      </c>
      <c r="H184" s="183">
        <f t="shared" si="26"/>
        <v>198.67788263364889</v>
      </c>
      <c r="I184" s="183">
        <f t="shared" si="27"/>
        <v>-14.650974948527489</v>
      </c>
      <c r="J184" s="184">
        <f t="shared" si="28"/>
        <v>-8989.2628517501416</v>
      </c>
      <c r="K184" s="51" t="str">
        <f t="shared" si="32"/>
        <v/>
      </c>
      <c r="L184" s="48"/>
    </row>
    <row r="185" spans="1:12" x14ac:dyDescent="0.25">
      <c r="A185" s="35">
        <f t="shared" si="29"/>
        <v>168</v>
      </c>
      <c r="B185" s="182">
        <f t="shared" si="30"/>
        <v>50010</v>
      </c>
      <c r="C185" s="183">
        <f t="shared" si="31"/>
        <v>-8989.2628517501416</v>
      </c>
      <c r="D185" s="183">
        <f t="shared" si="23"/>
        <v>184.02690768512142</v>
      </c>
      <c r="E185" s="183">
        <f t="shared" si="24"/>
        <v>0</v>
      </c>
      <c r="F185" s="227"/>
      <c r="G185" s="183">
        <f t="shared" si="25"/>
        <v>184.02690768512142</v>
      </c>
      <c r="H185" s="183">
        <f t="shared" si="26"/>
        <v>199.00901243803833</v>
      </c>
      <c r="I185" s="183">
        <f t="shared" si="27"/>
        <v>-14.982104752916904</v>
      </c>
      <c r="J185" s="184">
        <f t="shared" si="28"/>
        <v>-9188.2718641881802</v>
      </c>
      <c r="K185" s="51" t="str">
        <f t="shared" si="32"/>
        <v/>
      </c>
      <c r="L185" s="48"/>
    </row>
    <row r="186" spans="1:12" x14ac:dyDescent="0.25">
      <c r="A186" s="35">
        <f t="shared" si="29"/>
        <v>169</v>
      </c>
      <c r="B186" s="182">
        <f t="shared" si="30"/>
        <v>50041</v>
      </c>
      <c r="C186" s="183">
        <f t="shared" si="31"/>
        <v>-9188.2718641881802</v>
      </c>
      <c r="D186" s="183">
        <f t="shared" si="23"/>
        <v>184.02690768512142</v>
      </c>
      <c r="E186" s="183">
        <f t="shared" si="24"/>
        <v>0</v>
      </c>
      <c r="F186" s="227"/>
      <c r="G186" s="183">
        <f t="shared" si="25"/>
        <v>184.02690768512142</v>
      </c>
      <c r="H186" s="183">
        <f t="shared" si="26"/>
        <v>199.34069412543505</v>
      </c>
      <c r="I186" s="183">
        <f t="shared" si="27"/>
        <v>-15.313786440313635</v>
      </c>
      <c r="J186" s="184">
        <f t="shared" si="28"/>
        <v>-9387.6125583136145</v>
      </c>
      <c r="K186" s="51" t="str">
        <f t="shared" si="32"/>
        <v/>
      </c>
      <c r="L186" s="48"/>
    </row>
    <row r="187" spans="1:12" x14ac:dyDescent="0.25">
      <c r="A187" s="35">
        <f t="shared" si="29"/>
        <v>170</v>
      </c>
      <c r="B187" s="182">
        <f t="shared" si="30"/>
        <v>50072</v>
      </c>
      <c r="C187" s="183">
        <f t="shared" si="31"/>
        <v>-9387.6125583136145</v>
      </c>
      <c r="D187" s="183">
        <f t="shared" si="23"/>
        <v>184.02690768512142</v>
      </c>
      <c r="E187" s="183">
        <f t="shared" si="24"/>
        <v>0</v>
      </c>
      <c r="F187" s="227"/>
      <c r="G187" s="183">
        <f t="shared" si="25"/>
        <v>184.02690768512142</v>
      </c>
      <c r="H187" s="183">
        <f t="shared" si="26"/>
        <v>199.67292861564411</v>
      </c>
      <c r="I187" s="183">
        <f t="shared" si="27"/>
        <v>-15.64602093052269</v>
      </c>
      <c r="J187" s="184">
        <f t="shared" si="28"/>
        <v>-9587.2854869292587</v>
      </c>
      <c r="K187" s="51" t="str">
        <f t="shared" si="32"/>
        <v/>
      </c>
      <c r="L187" s="48"/>
    </row>
    <row r="188" spans="1:12" x14ac:dyDescent="0.25">
      <c r="A188" s="35">
        <f t="shared" si="29"/>
        <v>171</v>
      </c>
      <c r="B188" s="182">
        <f t="shared" si="30"/>
        <v>50100</v>
      </c>
      <c r="C188" s="183">
        <f t="shared" si="31"/>
        <v>-9587.2854869292587</v>
      </c>
      <c r="D188" s="183">
        <f t="shared" si="23"/>
        <v>184.02690768512142</v>
      </c>
      <c r="E188" s="183">
        <f t="shared" si="24"/>
        <v>0</v>
      </c>
      <c r="F188" s="227"/>
      <c r="G188" s="183">
        <f t="shared" si="25"/>
        <v>184.02690768512142</v>
      </c>
      <c r="H188" s="183">
        <f t="shared" si="26"/>
        <v>200.00571683000351</v>
      </c>
      <c r="I188" s="183">
        <f t="shared" si="27"/>
        <v>-15.978809144882099</v>
      </c>
      <c r="J188" s="184">
        <f t="shared" si="28"/>
        <v>-9787.2912037592614</v>
      </c>
      <c r="K188" s="51" t="str">
        <f t="shared" si="32"/>
        <v/>
      </c>
      <c r="L188" s="48"/>
    </row>
    <row r="189" spans="1:12" x14ac:dyDescent="0.25">
      <c r="A189" s="35">
        <f t="shared" si="29"/>
        <v>172</v>
      </c>
      <c r="B189" s="182">
        <f t="shared" si="30"/>
        <v>50131</v>
      </c>
      <c r="C189" s="183">
        <f t="shared" si="31"/>
        <v>-9787.2912037592614</v>
      </c>
      <c r="D189" s="183">
        <f t="shared" si="23"/>
        <v>184.02690768512142</v>
      </c>
      <c r="E189" s="183">
        <f t="shared" si="24"/>
        <v>0</v>
      </c>
      <c r="F189" s="227"/>
      <c r="G189" s="183">
        <f t="shared" si="25"/>
        <v>184.02690768512142</v>
      </c>
      <c r="H189" s="183">
        <f t="shared" si="26"/>
        <v>200.33905969138686</v>
      </c>
      <c r="I189" s="183">
        <f t="shared" si="27"/>
        <v>-16.312152006265435</v>
      </c>
      <c r="J189" s="184">
        <f t="shared" si="28"/>
        <v>-9987.6302634506483</v>
      </c>
      <c r="K189" s="51" t="str">
        <f t="shared" si="32"/>
        <v/>
      </c>
      <c r="L189" s="48"/>
    </row>
    <row r="190" spans="1:12" x14ac:dyDescent="0.25">
      <c r="A190" s="35">
        <f t="shared" si="29"/>
        <v>173</v>
      </c>
      <c r="B190" s="182">
        <f t="shared" si="30"/>
        <v>50161</v>
      </c>
      <c r="C190" s="183">
        <f t="shared" si="31"/>
        <v>-9987.6302634506483</v>
      </c>
      <c r="D190" s="183">
        <f t="shared" si="23"/>
        <v>184.02690768512142</v>
      </c>
      <c r="E190" s="183">
        <f t="shared" si="24"/>
        <v>0</v>
      </c>
      <c r="F190" s="227"/>
      <c r="G190" s="183">
        <f t="shared" si="25"/>
        <v>184.02690768512142</v>
      </c>
      <c r="H190" s="183">
        <f t="shared" si="26"/>
        <v>200.67295812420582</v>
      </c>
      <c r="I190" s="183">
        <f t="shared" si="27"/>
        <v>-16.646050439084416</v>
      </c>
      <c r="J190" s="184">
        <f t="shared" si="28"/>
        <v>-10188.303221574854</v>
      </c>
      <c r="K190" s="51" t="str">
        <f t="shared" si="32"/>
        <v/>
      </c>
      <c r="L190" s="48"/>
    </row>
    <row r="191" spans="1:12" x14ac:dyDescent="0.25">
      <c r="A191" s="35">
        <f t="shared" si="29"/>
        <v>174</v>
      </c>
      <c r="B191" s="182">
        <f t="shared" si="30"/>
        <v>50192</v>
      </c>
      <c r="C191" s="183">
        <f t="shared" si="31"/>
        <v>-10188.303221574854</v>
      </c>
      <c r="D191" s="183">
        <f t="shared" si="23"/>
        <v>184.02690768512142</v>
      </c>
      <c r="E191" s="183">
        <f t="shared" si="24"/>
        <v>0</v>
      </c>
      <c r="F191" s="227"/>
      <c r="G191" s="183">
        <f t="shared" si="25"/>
        <v>184.02690768512142</v>
      </c>
      <c r="H191" s="183">
        <f t="shared" si="26"/>
        <v>201.00741305441284</v>
      </c>
      <c r="I191" s="183">
        <f t="shared" si="27"/>
        <v>-16.980505369291425</v>
      </c>
      <c r="J191" s="184">
        <f t="shared" si="28"/>
        <v>-10389.310634629266</v>
      </c>
      <c r="K191" s="51" t="str">
        <f t="shared" si="32"/>
        <v/>
      </c>
      <c r="L191" s="48"/>
    </row>
    <row r="192" spans="1:12" x14ac:dyDescent="0.25">
      <c r="A192" s="35">
        <f t="shared" si="29"/>
        <v>175</v>
      </c>
      <c r="B192" s="182">
        <f t="shared" si="30"/>
        <v>50222</v>
      </c>
      <c r="C192" s="183">
        <f t="shared" si="31"/>
        <v>-10389.310634629266</v>
      </c>
      <c r="D192" s="183">
        <f t="shared" si="23"/>
        <v>184.02690768512142</v>
      </c>
      <c r="E192" s="183">
        <f t="shared" si="24"/>
        <v>0</v>
      </c>
      <c r="F192" s="227"/>
      <c r="G192" s="183">
        <f t="shared" si="25"/>
        <v>184.02690768512142</v>
      </c>
      <c r="H192" s="183">
        <f t="shared" si="26"/>
        <v>201.34242540950353</v>
      </c>
      <c r="I192" s="183">
        <f t="shared" si="27"/>
        <v>-17.315517724382111</v>
      </c>
      <c r="J192" s="184">
        <f t="shared" si="28"/>
        <v>-10590.65306003877</v>
      </c>
      <c r="K192" s="51" t="str">
        <f t="shared" si="32"/>
        <v/>
      </c>
      <c r="L192" s="48"/>
    </row>
    <row r="193" spans="1:12" x14ac:dyDescent="0.25">
      <c r="A193" s="35">
        <f t="shared" si="29"/>
        <v>176</v>
      </c>
      <c r="B193" s="182">
        <f t="shared" si="30"/>
        <v>50253</v>
      </c>
      <c r="C193" s="183">
        <f t="shared" si="31"/>
        <v>-10590.65306003877</v>
      </c>
      <c r="D193" s="183">
        <f t="shared" si="23"/>
        <v>184.02690768512142</v>
      </c>
      <c r="E193" s="183">
        <f t="shared" si="24"/>
        <v>0</v>
      </c>
      <c r="F193" s="227"/>
      <c r="G193" s="183">
        <f t="shared" si="25"/>
        <v>184.02690768512142</v>
      </c>
      <c r="H193" s="183">
        <f t="shared" si="26"/>
        <v>201.67799611851936</v>
      </c>
      <c r="I193" s="183">
        <f t="shared" si="27"/>
        <v>-17.651088433397952</v>
      </c>
      <c r="J193" s="184">
        <f t="shared" si="28"/>
        <v>-10792.331056157291</v>
      </c>
      <c r="K193" s="51" t="str">
        <f t="shared" si="32"/>
        <v/>
      </c>
      <c r="L193" s="48"/>
    </row>
    <row r="194" spans="1:12" x14ac:dyDescent="0.25">
      <c r="A194" s="35">
        <f t="shared" si="29"/>
        <v>177</v>
      </c>
      <c r="B194" s="182">
        <f t="shared" si="30"/>
        <v>50284</v>
      </c>
      <c r="C194" s="183">
        <f t="shared" si="31"/>
        <v>-10792.331056157291</v>
      </c>
      <c r="D194" s="183">
        <f t="shared" si="23"/>
        <v>184.02690768512142</v>
      </c>
      <c r="E194" s="183">
        <f t="shared" si="24"/>
        <v>0</v>
      </c>
      <c r="F194" s="227"/>
      <c r="G194" s="183">
        <f t="shared" si="25"/>
        <v>184.02690768512142</v>
      </c>
      <c r="H194" s="183">
        <f t="shared" si="26"/>
        <v>202.01412611205023</v>
      </c>
      <c r="I194" s="183">
        <f t="shared" si="27"/>
        <v>-17.987218426928816</v>
      </c>
      <c r="J194" s="184">
        <f t="shared" si="28"/>
        <v>-10994.345182269341</v>
      </c>
      <c r="K194" s="51" t="str">
        <f t="shared" si="32"/>
        <v/>
      </c>
      <c r="L194" s="48"/>
    </row>
    <row r="195" spans="1:12" x14ac:dyDescent="0.25">
      <c r="A195" s="35">
        <f t="shared" si="29"/>
        <v>178</v>
      </c>
      <c r="B195" s="182">
        <f t="shared" si="30"/>
        <v>50314</v>
      </c>
      <c r="C195" s="183">
        <f t="shared" si="31"/>
        <v>-10994.345182269341</v>
      </c>
      <c r="D195" s="183">
        <f t="shared" si="23"/>
        <v>184.02690768512142</v>
      </c>
      <c r="E195" s="183">
        <f t="shared" si="24"/>
        <v>0</v>
      </c>
      <c r="F195" s="227"/>
      <c r="G195" s="183">
        <f t="shared" si="25"/>
        <v>184.02690768512142</v>
      </c>
      <c r="H195" s="183">
        <f t="shared" si="26"/>
        <v>202.35081632223699</v>
      </c>
      <c r="I195" s="183">
        <f t="shared" si="27"/>
        <v>-18.323908637115569</v>
      </c>
      <c r="J195" s="184">
        <f t="shared" si="28"/>
        <v>-11196.695998591578</v>
      </c>
      <c r="K195" s="51" t="str">
        <f t="shared" si="32"/>
        <v/>
      </c>
      <c r="L195" s="48"/>
    </row>
    <row r="196" spans="1:12" x14ac:dyDescent="0.25">
      <c r="A196" s="35">
        <f t="shared" si="29"/>
        <v>179</v>
      </c>
      <c r="B196" s="182">
        <f t="shared" si="30"/>
        <v>50345</v>
      </c>
      <c r="C196" s="183">
        <f t="shared" si="31"/>
        <v>-11196.695998591578</v>
      </c>
      <c r="D196" s="183">
        <f t="shared" si="23"/>
        <v>184.02690768512142</v>
      </c>
      <c r="E196" s="183">
        <f t="shared" si="24"/>
        <v>0</v>
      </c>
      <c r="F196" s="227"/>
      <c r="G196" s="183">
        <f t="shared" si="25"/>
        <v>184.02690768512142</v>
      </c>
      <c r="H196" s="183">
        <f t="shared" si="26"/>
        <v>202.68806768277403</v>
      </c>
      <c r="I196" s="183">
        <f t="shared" si="27"/>
        <v>-18.661159997652629</v>
      </c>
      <c r="J196" s="184">
        <f t="shared" si="28"/>
        <v>-11399.384066274351</v>
      </c>
      <c r="K196" s="51" t="str">
        <f t="shared" si="32"/>
        <v/>
      </c>
      <c r="L196" s="48"/>
    </row>
    <row r="197" spans="1:12" x14ac:dyDescent="0.25">
      <c r="A197" s="35">
        <f t="shared" si="29"/>
        <v>180</v>
      </c>
      <c r="B197" s="182">
        <f t="shared" si="30"/>
        <v>50375</v>
      </c>
      <c r="C197" s="183">
        <f t="shared" si="31"/>
        <v>-11399.384066274351</v>
      </c>
      <c r="D197" s="183">
        <f t="shared" si="23"/>
        <v>184.02690768512142</v>
      </c>
      <c r="E197" s="183">
        <f t="shared" si="24"/>
        <v>0</v>
      </c>
      <c r="F197" s="227"/>
      <c r="G197" s="183">
        <f t="shared" si="25"/>
        <v>184.02690768512142</v>
      </c>
      <c r="H197" s="183">
        <f t="shared" si="26"/>
        <v>203.025881128912</v>
      </c>
      <c r="I197" s="183">
        <f t="shared" si="27"/>
        <v>-18.998973443790586</v>
      </c>
      <c r="J197" s="184">
        <f t="shared" si="28"/>
        <v>-11602.409947403263</v>
      </c>
      <c r="K197" s="51" t="str">
        <f t="shared" si="32"/>
        <v/>
      </c>
      <c r="L197" s="48"/>
    </row>
    <row r="198" spans="1:12" x14ac:dyDescent="0.25">
      <c r="A198" s="35">
        <f t="shared" si="29"/>
        <v>181</v>
      </c>
      <c r="B198" s="182">
        <f t="shared" si="30"/>
        <v>50406</v>
      </c>
      <c r="C198" s="183">
        <f t="shared" si="31"/>
        <v>-11602.409947403263</v>
      </c>
      <c r="D198" s="183">
        <f t="shared" si="23"/>
        <v>184.02690768512142</v>
      </c>
      <c r="E198" s="183">
        <f t="shared" si="24"/>
        <v>0</v>
      </c>
      <c r="F198" s="227"/>
      <c r="G198" s="183">
        <f t="shared" si="25"/>
        <v>184.02690768512142</v>
      </c>
      <c r="H198" s="183">
        <f t="shared" si="26"/>
        <v>203.36425759746018</v>
      </c>
      <c r="I198" s="183">
        <f t="shared" si="27"/>
        <v>-19.33734991233877</v>
      </c>
      <c r="J198" s="184">
        <f t="shared" si="28"/>
        <v>-11805.774205000724</v>
      </c>
      <c r="K198" s="51" t="str">
        <f t="shared" si="32"/>
        <v/>
      </c>
      <c r="L198" s="48"/>
    </row>
    <row r="199" spans="1:12" x14ac:dyDescent="0.25">
      <c r="A199" s="35">
        <f t="shared" si="29"/>
        <v>182</v>
      </c>
      <c r="B199" s="182">
        <f t="shared" si="30"/>
        <v>50437</v>
      </c>
      <c r="C199" s="183">
        <f t="shared" si="31"/>
        <v>-11805.774205000724</v>
      </c>
      <c r="D199" s="183">
        <f t="shared" si="23"/>
        <v>184.02690768512142</v>
      </c>
      <c r="E199" s="183">
        <f t="shared" si="24"/>
        <v>0</v>
      </c>
      <c r="F199" s="227"/>
      <c r="G199" s="183">
        <f t="shared" si="25"/>
        <v>184.02690768512142</v>
      </c>
      <c r="H199" s="183">
        <f t="shared" si="26"/>
        <v>203.70319802678929</v>
      </c>
      <c r="I199" s="183">
        <f t="shared" si="27"/>
        <v>-19.676290341667872</v>
      </c>
      <c r="J199" s="184">
        <f t="shared" si="28"/>
        <v>-12009.477403027513</v>
      </c>
      <c r="K199" s="51" t="str">
        <f t="shared" si="32"/>
        <v/>
      </c>
      <c r="L199" s="48"/>
    </row>
    <row r="200" spans="1:12" x14ac:dyDescent="0.25">
      <c r="A200" s="35">
        <f t="shared" si="29"/>
        <v>183</v>
      </c>
      <c r="B200" s="182">
        <f t="shared" si="30"/>
        <v>50465</v>
      </c>
      <c r="C200" s="183">
        <f t="shared" si="31"/>
        <v>-12009.477403027513</v>
      </c>
      <c r="D200" s="183">
        <f t="shared" si="23"/>
        <v>184.02690768512142</v>
      </c>
      <c r="E200" s="183">
        <f t="shared" si="24"/>
        <v>0</v>
      </c>
      <c r="F200" s="227"/>
      <c r="G200" s="183">
        <f t="shared" si="25"/>
        <v>184.02690768512142</v>
      </c>
      <c r="H200" s="183">
        <f t="shared" si="26"/>
        <v>204.04270335683393</v>
      </c>
      <c r="I200" s="183">
        <f t="shared" si="27"/>
        <v>-20.015795671712521</v>
      </c>
      <c r="J200" s="184">
        <f t="shared" si="28"/>
        <v>-12213.520106384347</v>
      </c>
      <c r="K200" s="51" t="str">
        <f t="shared" si="32"/>
        <v/>
      </c>
      <c r="L200" s="48"/>
    </row>
    <row r="201" spans="1:12" x14ac:dyDescent="0.25">
      <c r="A201" s="35">
        <f t="shared" si="29"/>
        <v>184</v>
      </c>
      <c r="B201" s="182">
        <f t="shared" si="30"/>
        <v>50496</v>
      </c>
      <c r="C201" s="183">
        <f t="shared" si="31"/>
        <v>-12213.520106384347</v>
      </c>
      <c r="D201" s="183">
        <f t="shared" si="23"/>
        <v>184.02690768512142</v>
      </c>
      <c r="E201" s="183">
        <f t="shared" si="24"/>
        <v>0</v>
      </c>
      <c r="F201" s="227"/>
      <c r="G201" s="183">
        <f t="shared" si="25"/>
        <v>184.02690768512142</v>
      </c>
      <c r="H201" s="183">
        <f t="shared" si="26"/>
        <v>204.38277452909531</v>
      </c>
      <c r="I201" s="183">
        <f t="shared" si="27"/>
        <v>-20.35586684397391</v>
      </c>
      <c r="J201" s="184">
        <f t="shared" si="28"/>
        <v>-12417.902880913442</v>
      </c>
      <c r="K201" s="51" t="str">
        <f t="shared" si="32"/>
        <v/>
      </c>
      <c r="L201" s="48"/>
    </row>
    <row r="202" spans="1:12" x14ac:dyDescent="0.25">
      <c r="A202" s="35">
        <f t="shared" si="29"/>
        <v>185</v>
      </c>
      <c r="B202" s="182">
        <f t="shared" si="30"/>
        <v>50526</v>
      </c>
      <c r="C202" s="183">
        <f t="shared" si="31"/>
        <v>-12417.902880913442</v>
      </c>
      <c r="D202" s="183">
        <f t="shared" si="23"/>
        <v>184.02690768512142</v>
      </c>
      <c r="E202" s="183">
        <f t="shared" si="24"/>
        <v>0</v>
      </c>
      <c r="F202" s="227"/>
      <c r="G202" s="183">
        <f t="shared" si="25"/>
        <v>184.02690768512142</v>
      </c>
      <c r="H202" s="183">
        <f t="shared" si="26"/>
        <v>204.72341248664381</v>
      </c>
      <c r="I202" s="183">
        <f t="shared" si="27"/>
        <v>-20.696504801522405</v>
      </c>
      <c r="J202" s="184">
        <f t="shared" si="28"/>
        <v>-12622.626293400086</v>
      </c>
      <c r="K202" s="51" t="str">
        <f t="shared" si="32"/>
        <v/>
      </c>
      <c r="L202" s="48"/>
    </row>
    <row r="203" spans="1:12" x14ac:dyDescent="0.25">
      <c r="A203" s="35">
        <f t="shared" si="29"/>
        <v>186</v>
      </c>
      <c r="B203" s="182">
        <f t="shared" si="30"/>
        <v>50557</v>
      </c>
      <c r="C203" s="183">
        <f t="shared" si="31"/>
        <v>-12622.626293400086</v>
      </c>
      <c r="D203" s="183">
        <f t="shared" si="23"/>
        <v>184.02690768512142</v>
      </c>
      <c r="E203" s="183">
        <f t="shared" si="24"/>
        <v>0</v>
      </c>
      <c r="F203" s="227"/>
      <c r="G203" s="183">
        <f t="shared" si="25"/>
        <v>184.02690768512142</v>
      </c>
      <c r="H203" s="183">
        <f t="shared" si="26"/>
        <v>205.06461817412156</v>
      </c>
      <c r="I203" s="183">
        <f t="shared" si="27"/>
        <v>-21.037710489000144</v>
      </c>
      <c r="J203" s="184">
        <f t="shared" si="28"/>
        <v>-12827.690911574207</v>
      </c>
      <c r="K203" s="51" t="str">
        <f t="shared" si="32"/>
        <v/>
      </c>
      <c r="L203" s="48"/>
    </row>
    <row r="204" spans="1:12" x14ac:dyDescent="0.25">
      <c r="A204" s="35">
        <f t="shared" si="29"/>
        <v>187</v>
      </c>
      <c r="B204" s="182">
        <f t="shared" si="30"/>
        <v>50587</v>
      </c>
      <c r="C204" s="183">
        <f t="shared" si="31"/>
        <v>-12827.690911574207</v>
      </c>
      <c r="D204" s="183">
        <f t="shared" si="23"/>
        <v>184.02690768512142</v>
      </c>
      <c r="E204" s="183">
        <f t="shared" si="24"/>
        <v>0</v>
      </c>
      <c r="F204" s="227"/>
      <c r="G204" s="183">
        <f t="shared" si="25"/>
        <v>184.02690768512142</v>
      </c>
      <c r="H204" s="183">
        <f t="shared" si="26"/>
        <v>205.40639253774509</v>
      </c>
      <c r="I204" s="183">
        <f t="shared" si="27"/>
        <v>-21.37948485262368</v>
      </c>
      <c r="J204" s="184">
        <f t="shared" si="28"/>
        <v>-13033.097304111952</v>
      </c>
      <c r="K204" s="51" t="str">
        <f t="shared" si="32"/>
        <v/>
      </c>
      <c r="L204" s="48"/>
    </row>
    <row r="205" spans="1:12" x14ac:dyDescent="0.25">
      <c r="A205" s="35">
        <f t="shared" si="29"/>
        <v>188</v>
      </c>
      <c r="B205" s="182">
        <f t="shared" si="30"/>
        <v>50618</v>
      </c>
      <c r="C205" s="183">
        <f t="shared" si="31"/>
        <v>-13033.097304111952</v>
      </c>
      <c r="D205" s="183">
        <f t="shared" si="23"/>
        <v>184.02690768512142</v>
      </c>
      <c r="E205" s="183">
        <f t="shared" si="24"/>
        <v>0</v>
      </c>
      <c r="F205" s="227"/>
      <c r="G205" s="183">
        <f t="shared" si="25"/>
        <v>184.02690768512142</v>
      </c>
      <c r="H205" s="183">
        <f t="shared" si="26"/>
        <v>205.748736525308</v>
      </c>
      <c r="I205" s="183">
        <f t="shared" si="27"/>
        <v>-21.721828840186589</v>
      </c>
      <c r="J205" s="184">
        <f t="shared" si="28"/>
        <v>-13238.84604063726</v>
      </c>
      <c r="K205" s="51" t="str">
        <f t="shared" si="32"/>
        <v/>
      </c>
      <c r="L205" s="48"/>
    </row>
    <row r="206" spans="1:12" x14ac:dyDescent="0.25">
      <c r="A206" s="35">
        <f t="shared" si="29"/>
        <v>189</v>
      </c>
      <c r="B206" s="182">
        <f t="shared" si="30"/>
        <v>50649</v>
      </c>
      <c r="C206" s="183">
        <f t="shared" si="31"/>
        <v>-13238.84604063726</v>
      </c>
      <c r="D206" s="183">
        <f t="shared" si="23"/>
        <v>184.02690768512142</v>
      </c>
      <c r="E206" s="183">
        <f t="shared" si="24"/>
        <v>0</v>
      </c>
      <c r="F206" s="227"/>
      <c r="G206" s="183">
        <f t="shared" si="25"/>
        <v>184.02690768512142</v>
      </c>
      <c r="H206" s="183">
        <f t="shared" si="26"/>
        <v>206.0916510861835</v>
      </c>
      <c r="I206" s="183">
        <f t="shared" si="27"/>
        <v>-22.064743401062099</v>
      </c>
      <c r="J206" s="184">
        <f t="shared" si="28"/>
        <v>-13444.937691723444</v>
      </c>
      <c r="K206" s="51" t="str">
        <f t="shared" si="32"/>
        <v/>
      </c>
      <c r="L206" s="48"/>
    </row>
    <row r="207" spans="1:12" x14ac:dyDescent="0.25">
      <c r="A207" s="35">
        <f t="shared" si="29"/>
        <v>190</v>
      </c>
      <c r="B207" s="182">
        <f t="shared" si="30"/>
        <v>50679</v>
      </c>
      <c r="C207" s="183">
        <f t="shared" si="31"/>
        <v>-13444.937691723444</v>
      </c>
      <c r="D207" s="183">
        <f t="shared" si="23"/>
        <v>184.02690768512142</v>
      </c>
      <c r="E207" s="183">
        <f t="shared" si="24"/>
        <v>0</v>
      </c>
      <c r="F207" s="227"/>
      <c r="G207" s="183">
        <f t="shared" si="25"/>
        <v>184.02690768512142</v>
      </c>
      <c r="H207" s="183">
        <f t="shared" si="26"/>
        <v>206.43513717132714</v>
      </c>
      <c r="I207" s="183">
        <f t="shared" si="27"/>
        <v>-22.408229486205741</v>
      </c>
      <c r="J207" s="184">
        <f t="shared" si="28"/>
        <v>-13651.372828894771</v>
      </c>
      <c r="K207" s="51" t="str">
        <f t="shared" si="32"/>
        <v/>
      </c>
      <c r="L207" s="48"/>
    </row>
    <row r="208" spans="1:12" x14ac:dyDescent="0.25">
      <c r="A208" s="35">
        <f t="shared" si="29"/>
        <v>191</v>
      </c>
      <c r="B208" s="182">
        <f t="shared" si="30"/>
        <v>50710</v>
      </c>
      <c r="C208" s="183">
        <f t="shared" si="31"/>
        <v>-13651.372828894771</v>
      </c>
      <c r="D208" s="183">
        <f t="shared" si="23"/>
        <v>184.02690768512142</v>
      </c>
      <c r="E208" s="183">
        <f t="shared" si="24"/>
        <v>0</v>
      </c>
      <c r="F208" s="227"/>
      <c r="G208" s="183">
        <f t="shared" si="25"/>
        <v>184.02690768512142</v>
      </c>
      <c r="H208" s="183">
        <f t="shared" si="26"/>
        <v>206.77919573327938</v>
      </c>
      <c r="I208" s="183">
        <f t="shared" si="27"/>
        <v>-22.752288048157951</v>
      </c>
      <c r="J208" s="184">
        <f t="shared" si="28"/>
        <v>-13858.152024628051</v>
      </c>
      <c r="K208" s="51" t="str">
        <f t="shared" si="32"/>
        <v/>
      </c>
      <c r="L208" s="48"/>
    </row>
    <row r="209" spans="1:12" x14ac:dyDescent="0.25">
      <c r="A209" s="35">
        <f t="shared" si="29"/>
        <v>192</v>
      </c>
      <c r="B209" s="182">
        <f t="shared" si="30"/>
        <v>50740</v>
      </c>
      <c r="C209" s="183">
        <f t="shared" si="31"/>
        <v>-13858.152024628051</v>
      </c>
      <c r="D209" s="183">
        <f t="shared" si="23"/>
        <v>184.02690768512142</v>
      </c>
      <c r="E209" s="183">
        <f t="shared" si="24"/>
        <v>0</v>
      </c>
      <c r="F209" s="227"/>
      <c r="G209" s="183">
        <f t="shared" si="25"/>
        <v>184.02690768512142</v>
      </c>
      <c r="H209" s="183">
        <f t="shared" si="26"/>
        <v>207.12382772616817</v>
      </c>
      <c r="I209" s="183">
        <f t="shared" si="27"/>
        <v>-23.096920041046754</v>
      </c>
      <c r="J209" s="184">
        <f t="shared" si="28"/>
        <v>-14065.275852354218</v>
      </c>
      <c r="K209" s="51" t="str">
        <f t="shared" si="32"/>
        <v/>
      </c>
      <c r="L209" s="48"/>
    </row>
    <row r="210" spans="1:12" x14ac:dyDescent="0.25">
      <c r="A210" s="35">
        <f t="shared" si="29"/>
        <v>193</v>
      </c>
      <c r="B210" s="182">
        <f t="shared" si="30"/>
        <v>50771</v>
      </c>
      <c r="C210" s="183">
        <f t="shared" si="31"/>
        <v>-14065.275852354218</v>
      </c>
      <c r="D210" s="183">
        <f t="shared" ref="D210:D273" si="33">IF(Pay_Num&lt;&gt;"",Scheduled_Monthly_Payment,"")</f>
        <v>184.02690768512142</v>
      </c>
      <c r="E210" s="183">
        <f t="shared" ref="E210:E273" si="34">IF(Pay_Num&lt;&gt;"",Scheduled_Extra_Payments,"")</f>
        <v>0</v>
      </c>
      <c r="F210" s="227"/>
      <c r="G210" s="183">
        <f t="shared" ref="G210:G273" si="35">IF(Pay_Num&lt;&gt;"",Sched_Pay+Extra_Pay,"")+F210</f>
        <v>184.02690768512142</v>
      </c>
      <c r="H210" s="183">
        <f t="shared" ref="H210:H273" si="36">IF(Pay_Num&lt;&gt;"",Total_Pay-Int,"")</f>
        <v>207.46903410571178</v>
      </c>
      <c r="I210" s="183">
        <f t="shared" ref="I210:I273" si="37">IF(Pay_Num&lt;&gt;"",Beg_Bal*Interest_Rate/12,"")</f>
        <v>-23.442126420590366</v>
      </c>
      <c r="J210" s="184">
        <f t="shared" ref="J210:J273" si="38">IF(Pay_Num&lt;&gt;"",Beg_Bal-Princ,"")</f>
        <v>-14272.74488645993</v>
      </c>
      <c r="K210" s="51" t="str">
        <f t="shared" si="32"/>
        <v/>
      </c>
      <c r="L210" s="48"/>
    </row>
    <row r="211" spans="1:12" x14ac:dyDescent="0.25">
      <c r="A211" s="35">
        <f t="shared" ref="A211:A274" si="39">IF(Values_Entered,A210+1,"")</f>
        <v>194</v>
      </c>
      <c r="B211" s="182">
        <f t="shared" ref="B211:B274" si="40">IF(Pay_Num&lt;&gt;"",DATE(YEAR(B210),MONTH(B210)+1,DAY(B210)),"")</f>
        <v>50802</v>
      </c>
      <c r="C211" s="183">
        <f t="shared" ref="C211:C274" si="41">IF(Pay_Num&lt;&gt;"",J210,"")</f>
        <v>-14272.74488645993</v>
      </c>
      <c r="D211" s="183">
        <f t="shared" si="33"/>
        <v>184.02690768512142</v>
      </c>
      <c r="E211" s="183">
        <f t="shared" si="34"/>
        <v>0</v>
      </c>
      <c r="F211" s="227"/>
      <c r="G211" s="183">
        <f t="shared" si="35"/>
        <v>184.02690768512142</v>
      </c>
      <c r="H211" s="183">
        <f t="shared" si="36"/>
        <v>207.81481582922129</v>
      </c>
      <c r="I211" s="183">
        <f t="shared" si="37"/>
        <v>-23.787908144099884</v>
      </c>
      <c r="J211" s="184">
        <f t="shared" si="38"/>
        <v>-14480.559702289151</v>
      </c>
      <c r="K211" s="51" t="str">
        <f t="shared" ref="K211:K274" si="42">IF(A211&gt;$D$13,"",K210+1)</f>
        <v/>
      </c>
      <c r="L211" s="48"/>
    </row>
    <row r="212" spans="1:12" x14ac:dyDescent="0.25">
      <c r="A212" s="35">
        <f t="shared" si="39"/>
        <v>195</v>
      </c>
      <c r="B212" s="182">
        <f t="shared" si="40"/>
        <v>50830</v>
      </c>
      <c r="C212" s="183">
        <f t="shared" si="41"/>
        <v>-14480.559702289151</v>
      </c>
      <c r="D212" s="183">
        <f t="shared" si="33"/>
        <v>184.02690768512142</v>
      </c>
      <c r="E212" s="183">
        <f t="shared" si="34"/>
        <v>0</v>
      </c>
      <c r="F212" s="227"/>
      <c r="G212" s="183">
        <f t="shared" si="35"/>
        <v>184.02690768512142</v>
      </c>
      <c r="H212" s="183">
        <f t="shared" si="36"/>
        <v>208.16117385560332</v>
      </c>
      <c r="I212" s="183">
        <f t="shared" si="37"/>
        <v>-24.134266170481919</v>
      </c>
      <c r="J212" s="184">
        <f t="shared" si="38"/>
        <v>-14688.720876144755</v>
      </c>
      <c r="K212" s="51" t="str">
        <f t="shared" si="42"/>
        <v/>
      </c>
      <c r="L212" s="48"/>
    </row>
    <row r="213" spans="1:12" x14ac:dyDescent="0.25">
      <c r="A213" s="35">
        <f t="shared" si="39"/>
        <v>196</v>
      </c>
      <c r="B213" s="182">
        <f t="shared" si="40"/>
        <v>50861</v>
      </c>
      <c r="C213" s="183">
        <f t="shared" si="41"/>
        <v>-14688.720876144755</v>
      </c>
      <c r="D213" s="183">
        <f t="shared" si="33"/>
        <v>184.02690768512142</v>
      </c>
      <c r="E213" s="183">
        <f t="shared" si="34"/>
        <v>0</v>
      </c>
      <c r="F213" s="227"/>
      <c r="G213" s="183">
        <f t="shared" si="35"/>
        <v>184.02690768512142</v>
      </c>
      <c r="H213" s="183">
        <f t="shared" si="36"/>
        <v>208.50810914536268</v>
      </c>
      <c r="I213" s="183">
        <f t="shared" si="37"/>
        <v>-24.481201460241255</v>
      </c>
      <c r="J213" s="184">
        <f t="shared" si="38"/>
        <v>-14897.228985290118</v>
      </c>
      <c r="K213" s="51" t="str">
        <f t="shared" si="42"/>
        <v/>
      </c>
      <c r="L213" s="48"/>
    </row>
    <row r="214" spans="1:12" x14ac:dyDescent="0.25">
      <c r="A214" s="35">
        <f t="shared" si="39"/>
        <v>197</v>
      </c>
      <c r="B214" s="182">
        <f t="shared" si="40"/>
        <v>50891</v>
      </c>
      <c r="C214" s="183">
        <f t="shared" si="41"/>
        <v>-14897.228985290118</v>
      </c>
      <c r="D214" s="183">
        <f t="shared" si="33"/>
        <v>184.02690768512142</v>
      </c>
      <c r="E214" s="183">
        <f t="shared" si="34"/>
        <v>0</v>
      </c>
      <c r="F214" s="227"/>
      <c r="G214" s="183">
        <f t="shared" si="35"/>
        <v>184.02690768512142</v>
      </c>
      <c r="H214" s="183">
        <f t="shared" si="36"/>
        <v>208.85562266060495</v>
      </c>
      <c r="I214" s="183">
        <f t="shared" si="37"/>
        <v>-24.828714975483532</v>
      </c>
      <c r="J214" s="184">
        <f t="shared" si="38"/>
        <v>-15106.084607950723</v>
      </c>
      <c r="K214" s="51" t="str">
        <f t="shared" si="42"/>
        <v/>
      </c>
      <c r="L214" s="48"/>
    </row>
    <row r="215" spans="1:12" x14ac:dyDescent="0.25">
      <c r="A215" s="35">
        <f t="shared" si="39"/>
        <v>198</v>
      </c>
      <c r="B215" s="182">
        <f t="shared" si="40"/>
        <v>50922</v>
      </c>
      <c r="C215" s="183">
        <f t="shared" si="41"/>
        <v>-15106.084607950723</v>
      </c>
      <c r="D215" s="183">
        <f t="shared" si="33"/>
        <v>184.02690768512142</v>
      </c>
      <c r="E215" s="183">
        <f t="shared" si="34"/>
        <v>0</v>
      </c>
      <c r="F215" s="227"/>
      <c r="G215" s="183">
        <f t="shared" si="35"/>
        <v>184.02690768512142</v>
      </c>
      <c r="H215" s="183">
        <f t="shared" si="36"/>
        <v>209.20371536503927</v>
      </c>
      <c r="I215" s="183">
        <f t="shared" si="37"/>
        <v>-25.176807679917871</v>
      </c>
      <c r="J215" s="184">
        <f t="shared" si="38"/>
        <v>-15315.288323315763</v>
      </c>
      <c r="K215" s="51" t="str">
        <f t="shared" si="42"/>
        <v/>
      </c>
      <c r="L215" s="48"/>
    </row>
    <row r="216" spans="1:12" x14ac:dyDescent="0.25">
      <c r="A216" s="35">
        <f t="shared" si="39"/>
        <v>199</v>
      </c>
      <c r="B216" s="182">
        <f t="shared" si="40"/>
        <v>50952</v>
      </c>
      <c r="C216" s="183">
        <f t="shared" si="41"/>
        <v>-15315.288323315763</v>
      </c>
      <c r="D216" s="183">
        <f t="shared" si="33"/>
        <v>184.02690768512142</v>
      </c>
      <c r="E216" s="183">
        <f t="shared" si="34"/>
        <v>0</v>
      </c>
      <c r="F216" s="227"/>
      <c r="G216" s="183">
        <f t="shared" si="35"/>
        <v>184.02690768512142</v>
      </c>
      <c r="H216" s="183">
        <f t="shared" si="36"/>
        <v>209.55238822398101</v>
      </c>
      <c r="I216" s="183">
        <f t="shared" si="37"/>
        <v>-25.525480538859608</v>
      </c>
      <c r="J216" s="184">
        <f t="shared" si="38"/>
        <v>-15524.840711539744</v>
      </c>
      <c r="K216" s="51" t="str">
        <f t="shared" si="42"/>
        <v/>
      </c>
      <c r="L216" s="48"/>
    </row>
    <row r="217" spans="1:12" x14ac:dyDescent="0.25">
      <c r="A217" s="35">
        <f t="shared" si="39"/>
        <v>200</v>
      </c>
      <c r="B217" s="182">
        <f t="shared" si="40"/>
        <v>50983</v>
      </c>
      <c r="C217" s="183">
        <f t="shared" si="41"/>
        <v>-15524.840711539744</v>
      </c>
      <c r="D217" s="183">
        <f t="shared" si="33"/>
        <v>184.02690768512142</v>
      </c>
      <c r="E217" s="183">
        <f t="shared" si="34"/>
        <v>0</v>
      </c>
      <c r="F217" s="227"/>
      <c r="G217" s="183">
        <f t="shared" si="35"/>
        <v>184.02690768512142</v>
      </c>
      <c r="H217" s="183">
        <f t="shared" si="36"/>
        <v>209.90164220435432</v>
      </c>
      <c r="I217" s="183">
        <f t="shared" si="37"/>
        <v>-25.874734519232906</v>
      </c>
      <c r="J217" s="184">
        <f t="shared" si="38"/>
        <v>-15734.742353744099</v>
      </c>
      <c r="K217" s="51" t="str">
        <f t="shared" si="42"/>
        <v/>
      </c>
      <c r="L217" s="48"/>
    </row>
    <row r="218" spans="1:12" x14ac:dyDescent="0.25">
      <c r="A218" s="35">
        <f t="shared" si="39"/>
        <v>201</v>
      </c>
      <c r="B218" s="182">
        <f t="shared" si="40"/>
        <v>51014</v>
      </c>
      <c r="C218" s="183">
        <f t="shared" si="41"/>
        <v>-15734.742353744099</v>
      </c>
      <c r="D218" s="183">
        <f t="shared" si="33"/>
        <v>184.02690768512142</v>
      </c>
      <c r="E218" s="183">
        <f t="shared" si="34"/>
        <v>0</v>
      </c>
      <c r="F218" s="227"/>
      <c r="G218" s="183">
        <f t="shared" si="35"/>
        <v>184.02690768512142</v>
      </c>
      <c r="H218" s="183">
        <f t="shared" si="36"/>
        <v>210.2514782746949</v>
      </c>
      <c r="I218" s="183">
        <f t="shared" si="37"/>
        <v>-26.224570589573499</v>
      </c>
      <c r="J218" s="184">
        <f t="shared" si="38"/>
        <v>-15944.993832018794</v>
      </c>
      <c r="K218" s="51" t="str">
        <f t="shared" si="42"/>
        <v/>
      </c>
      <c r="L218" s="48"/>
    </row>
    <row r="219" spans="1:12" x14ac:dyDescent="0.25">
      <c r="A219" s="35">
        <f t="shared" si="39"/>
        <v>202</v>
      </c>
      <c r="B219" s="182">
        <f t="shared" si="40"/>
        <v>51044</v>
      </c>
      <c r="C219" s="183">
        <f t="shared" si="41"/>
        <v>-15944.993832018794</v>
      </c>
      <c r="D219" s="183">
        <f t="shared" si="33"/>
        <v>184.02690768512142</v>
      </c>
      <c r="E219" s="183">
        <f t="shared" si="34"/>
        <v>0</v>
      </c>
      <c r="F219" s="227"/>
      <c r="G219" s="183">
        <f t="shared" si="35"/>
        <v>184.02690768512142</v>
      </c>
      <c r="H219" s="183">
        <f t="shared" si="36"/>
        <v>210.60189740515273</v>
      </c>
      <c r="I219" s="183">
        <f t="shared" si="37"/>
        <v>-26.574989720031326</v>
      </c>
      <c r="J219" s="184">
        <f t="shared" si="38"/>
        <v>-16155.595729423947</v>
      </c>
      <c r="K219" s="51" t="str">
        <f t="shared" si="42"/>
        <v/>
      </c>
      <c r="L219" s="48"/>
    </row>
    <row r="220" spans="1:12" x14ac:dyDescent="0.25">
      <c r="A220" s="35">
        <f t="shared" si="39"/>
        <v>203</v>
      </c>
      <c r="B220" s="182">
        <f t="shared" si="40"/>
        <v>51075</v>
      </c>
      <c r="C220" s="183">
        <f t="shared" si="41"/>
        <v>-16155.595729423947</v>
      </c>
      <c r="D220" s="183">
        <f t="shared" si="33"/>
        <v>184.02690768512142</v>
      </c>
      <c r="E220" s="183">
        <f t="shared" si="34"/>
        <v>0</v>
      </c>
      <c r="F220" s="227"/>
      <c r="G220" s="183">
        <f t="shared" si="35"/>
        <v>184.02690768512142</v>
      </c>
      <c r="H220" s="183">
        <f t="shared" si="36"/>
        <v>210.95290056749465</v>
      </c>
      <c r="I220" s="183">
        <f t="shared" si="37"/>
        <v>-26.925992882373247</v>
      </c>
      <c r="J220" s="184">
        <f t="shared" si="38"/>
        <v>-16366.548629991441</v>
      </c>
      <c r="K220" s="51" t="str">
        <f t="shared" si="42"/>
        <v/>
      </c>
      <c r="L220" s="48"/>
    </row>
    <row r="221" spans="1:12" x14ac:dyDescent="0.25">
      <c r="A221" s="35">
        <f t="shared" si="39"/>
        <v>204</v>
      </c>
      <c r="B221" s="182">
        <f t="shared" si="40"/>
        <v>51105</v>
      </c>
      <c r="C221" s="183">
        <f t="shared" si="41"/>
        <v>-16366.548629991441</v>
      </c>
      <c r="D221" s="183">
        <f t="shared" si="33"/>
        <v>184.02690768512142</v>
      </c>
      <c r="E221" s="183">
        <f t="shared" si="34"/>
        <v>0</v>
      </c>
      <c r="F221" s="227"/>
      <c r="G221" s="183">
        <f t="shared" si="35"/>
        <v>184.02690768512142</v>
      </c>
      <c r="H221" s="183">
        <f t="shared" si="36"/>
        <v>211.30448873510716</v>
      </c>
      <c r="I221" s="183">
        <f t="shared" si="37"/>
        <v>-27.277581049985738</v>
      </c>
      <c r="J221" s="184">
        <f t="shared" si="38"/>
        <v>-16577.853118726547</v>
      </c>
      <c r="K221" s="51" t="str">
        <f t="shared" si="42"/>
        <v/>
      </c>
      <c r="L221" s="48"/>
    </row>
    <row r="222" spans="1:12" x14ac:dyDescent="0.25">
      <c r="A222" s="35">
        <f t="shared" si="39"/>
        <v>205</v>
      </c>
      <c r="B222" s="182">
        <f t="shared" si="40"/>
        <v>51136</v>
      </c>
      <c r="C222" s="183">
        <f t="shared" si="41"/>
        <v>-16577.853118726547</v>
      </c>
      <c r="D222" s="183">
        <f t="shared" si="33"/>
        <v>184.02690768512142</v>
      </c>
      <c r="E222" s="183">
        <f t="shared" si="34"/>
        <v>0</v>
      </c>
      <c r="F222" s="227"/>
      <c r="G222" s="183">
        <f t="shared" si="35"/>
        <v>184.02690768512142</v>
      </c>
      <c r="H222" s="183">
        <f t="shared" si="36"/>
        <v>211.656662882999</v>
      </c>
      <c r="I222" s="183">
        <f t="shared" si="37"/>
        <v>-27.629755197877582</v>
      </c>
      <c r="J222" s="184">
        <f t="shared" si="38"/>
        <v>-16789.509781609548</v>
      </c>
      <c r="K222" s="51" t="str">
        <f t="shared" si="42"/>
        <v/>
      </c>
      <c r="L222" s="48"/>
    </row>
    <row r="223" spans="1:12" x14ac:dyDescent="0.25">
      <c r="A223" s="35">
        <f t="shared" si="39"/>
        <v>206</v>
      </c>
      <c r="B223" s="182">
        <f t="shared" si="40"/>
        <v>51167</v>
      </c>
      <c r="C223" s="183">
        <f t="shared" si="41"/>
        <v>-16789.509781609548</v>
      </c>
      <c r="D223" s="183">
        <f t="shared" si="33"/>
        <v>184.02690768512142</v>
      </c>
      <c r="E223" s="183">
        <f t="shared" si="34"/>
        <v>0</v>
      </c>
      <c r="F223" s="227"/>
      <c r="G223" s="183">
        <f t="shared" si="35"/>
        <v>184.02690768512142</v>
      </c>
      <c r="H223" s="183">
        <f t="shared" si="36"/>
        <v>212.00942398780398</v>
      </c>
      <c r="I223" s="183">
        <f t="shared" si="37"/>
        <v>-27.98251630268258</v>
      </c>
      <c r="J223" s="184">
        <f t="shared" si="38"/>
        <v>-17001.519205597353</v>
      </c>
      <c r="K223" s="51" t="str">
        <f t="shared" si="42"/>
        <v/>
      </c>
      <c r="L223" s="48"/>
    </row>
    <row r="224" spans="1:12" x14ac:dyDescent="0.25">
      <c r="A224" s="35">
        <f t="shared" si="39"/>
        <v>207</v>
      </c>
      <c r="B224" s="182">
        <f t="shared" si="40"/>
        <v>51196</v>
      </c>
      <c r="C224" s="183">
        <f t="shared" si="41"/>
        <v>-17001.519205597353</v>
      </c>
      <c r="D224" s="183">
        <f t="shared" si="33"/>
        <v>184.02690768512142</v>
      </c>
      <c r="E224" s="183">
        <f t="shared" si="34"/>
        <v>0</v>
      </c>
      <c r="F224" s="227"/>
      <c r="G224" s="183">
        <f t="shared" si="35"/>
        <v>184.02690768512142</v>
      </c>
      <c r="H224" s="183">
        <f t="shared" si="36"/>
        <v>212.36277302778367</v>
      </c>
      <c r="I224" s="183">
        <f t="shared" si="37"/>
        <v>-28.335865342662256</v>
      </c>
      <c r="J224" s="184">
        <f t="shared" si="38"/>
        <v>-17213.881978625137</v>
      </c>
      <c r="K224" s="51" t="str">
        <f t="shared" si="42"/>
        <v/>
      </c>
      <c r="L224" s="48"/>
    </row>
    <row r="225" spans="1:12" x14ac:dyDescent="0.25">
      <c r="A225" s="35">
        <f t="shared" si="39"/>
        <v>208</v>
      </c>
      <c r="B225" s="182">
        <f t="shared" si="40"/>
        <v>51227</v>
      </c>
      <c r="C225" s="183">
        <f t="shared" si="41"/>
        <v>-17213.881978625137</v>
      </c>
      <c r="D225" s="183">
        <f t="shared" si="33"/>
        <v>184.02690768512142</v>
      </c>
      <c r="E225" s="183">
        <f t="shared" si="34"/>
        <v>0</v>
      </c>
      <c r="F225" s="227"/>
      <c r="G225" s="183">
        <f t="shared" si="35"/>
        <v>184.02690768512142</v>
      </c>
      <c r="H225" s="183">
        <f t="shared" si="36"/>
        <v>212.71671098282997</v>
      </c>
      <c r="I225" s="183">
        <f t="shared" si="37"/>
        <v>-28.689803297708561</v>
      </c>
      <c r="J225" s="184">
        <f t="shared" si="38"/>
        <v>-17426.598689607967</v>
      </c>
      <c r="K225" s="51" t="str">
        <f t="shared" si="42"/>
        <v/>
      </c>
      <c r="L225" s="48"/>
    </row>
    <row r="226" spans="1:12" x14ac:dyDescent="0.25">
      <c r="A226" s="35">
        <f t="shared" si="39"/>
        <v>209</v>
      </c>
      <c r="B226" s="182">
        <f t="shared" si="40"/>
        <v>51257</v>
      </c>
      <c r="C226" s="183">
        <f t="shared" si="41"/>
        <v>-17426.598689607967</v>
      </c>
      <c r="D226" s="183">
        <f t="shared" si="33"/>
        <v>184.02690768512142</v>
      </c>
      <c r="E226" s="183">
        <f t="shared" si="34"/>
        <v>0</v>
      </c>
      <c r="F226" s="227"/>
      <c r="G226" s="183">
        <f t="shared" si="35"/>
        <v>184.02690768512142</v>
      </c>
      <c r="H226" s="183">
        <f t="shared" si="36"/>
        <v>213.07123883446803</v>
      </c>
      <c r="I226" s="183">
        <f t="shared" si="37"/>
        <v>-29.044331149346615</v>
      </c>
      <c r="J226" s="184">
        <f t="shared" si="38"/>
        <v>-17639.669928442436</v>
      </c>
      <c r="K226" s="51" t="str">
        <f t="shared" si="42"/>
        <v/>
      </c>
      <c r="L226" s="48"/>
    </row>
    <row r="227" spans="1:12" x14ac:dyDescent="0.25">
      <c r="A227" s="35">
        <f t="shared" si="39"/>
        <v>210</v>
      </c>
      <c r="B227" s="182">
        <f t="shared" si="40"/>
        <v>51288</v>
      </c>
      <c r="C227" s="183">
        <f t="shared" si="41"/>
        <v>-17639.669928442436</v>
      </c>
      <c r="D227" s="183">
        <f t="shared" si="33"/>
        <v>184.02690768512142</v>
      </c>
      <c r="E227" s="183">
        <f t="shared" si="34"/>
        <v>0</v>
      </c>
      <c r="F227" s="227"/>
      <c r="G227" s="183">
        <f t="shared" si="35"/>
        <v>184.02690768512142</v>
      </c>
      <c r="H227" s="183">
        <f t="shared" si="36"/>
        <v>213.42635756585881</v>
      </c>
      <c r="I227" s="183">
        <f t="shared" si="37"/>
        <v>-29.399449880737393</v>
      </c>
      <c r="J227" s="184">
        <f t="shared" si="38"/>
        <v>-17853.096286008295</v>
      </c>
      <c r="K227" s="51" t="str">
        <f t="shared" si="42"/>
        <v/>
      </c>
      <c r="L227" s="48"/>
    </row>
    <row r="228" spans="1:12" x14ac:dyDescent="0.25">
      <c r="A228" s="35">
        <f t="shared" si="39"/>
        <v>211</v>
      </c>
      <c r="B228" s="182">
        <f t="shared" si="40"/>
        <v>51318</v>
      </c>
      <c r="C228" s="183">
        <f t="shared" si="41"/>
        <v>-17853.096286008295</v>
      </c>
      <c r="D228" s="183">
        <f t="shared" si="33"/>
        <v>184.02690768512142</v>
      </c>
      <c r="E228" s="183">
        <f t="shared" si="34"/>
        <v>0</v>
      </c>
      <c r="F228" s="227"/>
      <c r="G228" s="183">
        <f t="shared" si="35"/>
        <v>184.02690768512142</v>
      </c>
      <c r="H228" s="183">
        <f t="shared" si="36"/>
        <v>213.7820681618019</v>
      </c>
      <c r="I228" s="183">
        <f t="shared" si="37"/>
        <v>-29.755160476680491</v>
      </c>
      <c r="J228" s="184">
        <f t="shared" si="38"/>
        <v>-18066.878354170098</v>
      </c>
      <c r="K228" s="51" t="str">
        <f t="shared" si="42"/>
        <v/>
      </c>
      <c r="L228" s="48"/>
    </row>
    <row r="229" spans="1:12" x14ac:dyDescent="0.25">
      <c r="A229" s="35">
        <f t="shared" si="39"/>
        <v>212</v>
      </c>
      <c r="B229" s="182">
        <f t="shared" si="40"/>
        <v>51349</v>
      </c>
      <c r="C229" s="183">
        <f t="shared" si="41"/>
        <v>-18066.878354170098</v>
      </c>
      <c r="D229" s="183">
        <f t="shared" si="33"/>
        <v>184.02690768512142</v>
      </c>
      <c r="E229" s="183">
        <f t="shared" si="34"/>
        <v>0</v>
      </c>
      <c r="F229" s="227"/>
      <c r="G229" s="183">
        <f t="shared" si="35"/>
        <v>184.02690768512142</v>
      </c>
      <c r="H229" s="183">
        <f t="shared" si="36"/>
        <v>214.13837160873825</v>
      </c>
      <c r="I229" s="183">
        <f t="shared" si="37"/>
        <v>-30.111463923616828</v>
      </c>
      <c r="J229" s="184">
        <f t="shared" si="38"/>
        <v>-18281.016725778834</v>
      </c>
      <c r="K229" s="51" t="str">
        <f t="shared" si="42"/>
        <v/>
      </c>
      <c r="L229" s="48"/>
    </row>
    <row r="230" spans="1:12" x14ac:dyDescent="0.25">
      <c r="A230" s="35">
        <f t="shared" si="39"/>
        <v>213</v>
      </c>
      <c r="B230" s="182">
        <f t="shared" si="40"/>
        <v>51380</v>
      </c>
      <c r="C230" s="183">
        <f t="shared" si="41"/>
        <v>-18281.016725778834</v>
      </c>
      <c r="D230" s="183">
        <f t="shared" si="33"/>
        <v>184.02690768512142</v>
      </c>
      <c r="E230" s="183">
        <f t="shared" si="34"/>
        <v>0</v>
      </c>
      <c r="F230" s="227"/>
      <c r="G230" s="183">
        <f t="shared" si="35"/>
        <v>184.02690768512142</v>
      </c>
      <c r="H230" s="183">
        <f t="shared" si="36"/>
        <v>214.4952688947528</v>
      </c>
      <c r="I230" s="183">
        <f t="shared" si="37"/>
        <v>-30.468361209631393</v>
      </c>
      <c r="J230" s="184">
        <f t="shared" si="38"/>
        <v>-18495.511994673587</v>
      </c>
      <c r="K230" s="51" t="str">
        <f t="shared" si="42"/>
        <v/>
      </c>
      <c r="L230" s="48"/>
    </row>
    <row r="231" spans="1:12" x14ac:dyDescent="0.25">
      <c r="A231" s="35">
        <f t="shared" si="39"/>
        <v>214</v>
      </c>
      <c r="B231" s="182">
        <f t="shared" si="40"/>
        <v>51410</v>
      </c>
      <c r="C231" s="183">
        <f t="shared" si="41"/>
        <v>-18495.511994673587</v>
      </c>
      <c r="D231" s="183">
        <f t="shared" si="33"/>
        <v>184.02690768512142</v>
      </c>
      <c r="E231" s="183">
        <f t="shared" si="34"/>
        <v>0</v>
      </c>
      <c r="F231" s="227"/>
      <c r="G231" s="183">
        <f t="shared" si="35"/>
        <v>184.02690768512142</v>
      </c>
      <c r="H231" s="183">
        <f t="shared" si="36"/>
        <v>214.85276100957739</v>
      </c>
      <c r="I231" s="183">
        <f t="shared" si="37"/>
        <v>-30.825853324455977</v>
      </c>
      <c r="J231" s="184">
        <f t="shared" si="38"/>
        <v>-18710.364755683164</v>
      </c>
      <c r="K231" s="51" t="str">
        <f t="shared" si="42"/>
        <v/>
      </c>
      <c r="L231" s="48"/>
    </row>
    <row r="232" spans="1:12" x14ac:dyDescent="0.25">
      <c r="A232" s="35">
        <f t="shared" si="39"/>
        <v>215</v>
      </c>
      <c r="B232" s="182">
        <f t="shared" si="40"/>
        <v>51441</v>
      </c>
      <c r="C232" s="183">
        <f t="shared" si="41"/>
        <v>-18710.364755683164</v>
      </c>
      <c r="D232" s="183">
        <f t="shared" si="33"/>
        <v>184.02690768512142</v>
      </c>
      <c r="E232" s="183">
        <f t="shared" si="34"/>
        <v>0</v>
      </c>
      <c r="F232" s="227"/>
      <c r="G232" s="183">
        <f t="shared" si="35"/>
        <v>184.02690768512142</v>
      </c>
      <c r="H232" s="183">
        <f t="shared" si="36"/>
        <v>215.21084894459335</v>
      </c>
      <c r="I232" s="183">
        <f t="shared" si="37"/>
        <v>-31.18394125947194</v>
      </c>
      <c r="J232" s="184">
        <f t="shared" si="38"/>
        <v>-18925.575604627757</v>
      </c>
      <c r="K232" s="51" t="str">
        <f t="shared" si="42"/>
        <v/>
      </c>
      <c r="L232" s="48"/>
    </row>
    <row r="233" spans="1:12" x14ac:dyDescent="0.25">
      <c r="A233" s="35">
        <f t="shared" si="39"/>
        <v>216</v>
      </c>
      <c r="B233" s="182">
        <f t="shared" si="40"/>
        <v>51471</v>
      </c>
      <c r="C233" s="183">
        <f t="shared" si="41"/>
        <v>-18925.575604627757</v>
      </c>
      <c r="D233" s="183">
        <f t="shared" si="33"/>
        <v>184.02690768512142</v>
      </c>
      <c r="E233" s="183">
        <f t="shared" si="34"/>
        <v>0</v>
      </c>
      <c r="F233" s="227"/>
      <c r="G233" s="183">
        <f t="shared" si="35"/>
        <v>184.02690768512142</v>
      </c>
      <c r="H233" s="183">
        <f t="shared" si="36"/>
        <v>215.56953369283434</v>
      </c>
      <c r="I233" s="183">
        <f t="shared" si="37"/>
        <v>-31.542626007712929</v>
      </c>
      <c r="J233" s="184">
        <f t="shared" si="38"/>
        <v>-19141.145138320589</v>
      </c>
      <c r="K233" s="51" t="str">
        <f t="shared" si="42"/>
        <v/>
      </c>
      <c r="L233" s="48"/>
    </row>
    <row r="234" spans="1:12" x14ac:dyDescent="0.25">
      <c r="A234" s="35">
        <f t="shared" si="39"/>
        <v>217</v>
      </c>
      <c r="B234" s="182">
        <f t="shared" si="40"/>
        <v>51502</v>
      </c>
      <c r="C234" s="183">
        <f t="shared" si="41"/>
        <v>-19141.145138320589</v>
      </c>
      <c r="D234" s="183">
        <f t="shared" si="33"/>
        <v>184.02690768512142</v>
      </c>
      <c r="E234" s="183">
        <f t="shared" si="34"/>
        <v>0</v>
      </c>
      <c r="F234" s="227"/>
      <c r="G234" s="183">
        <f t="shared" si="35"/>
        <v>184.02690768512142</v>
      </c>
      <c r="H234" s="183">
        <f t="shared" si="36"/>
        <v>215.92881624898905</v>
      </c>
      <c r="I234" s="183">
        <f t="shared" si="37"/>
        <v>-31.90190856386765</v>
      </c>
      <c r="J234" s="184">
        <f t="shared" si="38"/>
        <v>-19357.07395456958</v>
      </c>
      <c r="K234" s="51" t="str">
        <f t="shared" si="42"/>
        <v/>
      </c>
      <c r="L234" s="48"/>
    </row>
    <row r="235" spans="1:12" x14ac:dyDescent="0.25">
      <c r="A235" s="35">
        <f t="shared" si="39"/>
        <v>218</v>
      </c>
      <c r="B235" s="182">
        <f t="shared" si="40"/>
        <v>51533</v>
      </c>
      <c r="C235" s="183">
        <f t="shared" si="41"/>
        <v>-19357.07395456958</v>
      </c>
      <c r="D235" s="183">
        <f t="shared" si="33"/>
        <v>184.02690768512142</v>
      </c>
      <c r="E235" s="183">
        <f t="shared" si="34"/>
        <v>0</v>
      </c>
      <c r="F235" s="227"/>
      <c r="G235" s="183">
        <f t="shared" si="35"/>
        <v>184.02690768512142</v>
      </c>
      <c r="H235" s="183">
        <f t="shared" si="36"/>
        <v>216.28869760940404</v>
      </c>
      <c r="I235" s="183">
        <f t="shared" si="37"/>
        <v>-32.261789924282631</v>
      </c>
      <c r="J235" s="184">
        <f t="shared" si="38"/>
        <v>-19573.362652178985</v>
      </c>
      <c r="K235" s="51" t="str">
        <f t="shared" si="42"/>
        <v/>
      </c>
      <c r="L235" s="48"/>
    </row>
    <row r="236" spans="1:12" x14ac:dyDescent="0.25">
      <c r="A236" s="35">
        <f t="shared" si="39"/>
        <v>219</v>
      </c>
      <c r="B236" s="182">
        <f t="shared" si="40"/>
        <v>51561</v>
      </c>
      <c r="C236" s="183">
        <f t="shared" si="41"/>
        <v>-19573.362652178985</v>
      </c>
      <c r="D236" s="183">
        <f t="shared" si="33"/>
        <v>184.02690768512142</v>
      </c>
      <c r="E236" s="183">
        <f t="shared" si="34"/>
        <v>0</v>
      </c>
      <c r="F236" s="227"/>
      <c r="G236" s="183">
        <f t="shared" si="35"/>
        <v>184.02690768512142</v>
      </c>
      <c r="H236" s="183">
        <f t="shared" si="36"/>
        <v>216.6491787720864</v>
      </c>
      <c r="I236" s="183">
        <f t="shared" si="37"/>
        <v>-32.622271086964979</v>
      </c>
      <c r="J236" s="184">
        <f t="shared" si="38"/>
        <v>-19790.011830951073</v>
      </c>
      <c r="K236" s="51" t="str">
        <f t="shared" si="42"/>
        <v/>
      </c>
      <c r="L236" s="48"/>
    </row>
    <row r="237" spans="1:12" x14ac:dyDescent="0.25">
      <c r="A237" s="35">
        <f t="shared" si="39"/>
        <v>220</v>
      </c>
      <c r="B237" s="182">
        <f t="shared" si="40"/>
        <v>51592</v>
      </c>
      <c r="C237" s="183">
        <f t="shared" si="41"/>
        <v>-19790.011830951073</v>
      </c>
      <c r="D237" s="183">
        <f t="shared" si="33"/>
        <v>184.02690768512142</v>
      </c>
      <c r="E237" s="183">
        <f t="shared" si="34"/>
        <v>0</v>
      </c>
      <c r="F237" s="227"/>
      <c r="G237" s="183">
        <f t="shared" si="35"/>
        <v>184.02690768512142</v>
      </c>
      <c r="H237" s="183">
        <f t="shared" si="36"/>
        <v>217.01026073670653</v>
      </c>
      <c r="I237" s="183">
        <f t="shared" si="37"/>
        <v>-32.983353051585119</v>
      </c>
      <c r="J237" s="184">
        <f t="shared" si="38"/>
        <v>-20007.022091687781</v>
      </c>
      <c r="K237" s="51" t="str">
        <f t="shared" si="42"/>
        <v/>
      </c>
      <c r="L237" s="48"/>
    </row>
    <row r="238" spans="1:12" x14ac:dyDescent="0.25">
      <c r="A238" s="35">
        <f t="shared" si="39"/>
        <v>221</v>
      </c>
      <c r="B238" s="182">
        <f t="shared" si="40"/>
        <v>51622</v>
      </c>
      <c r="C238" s="183">
        <f t="shared" si="41"/>
        <v>-20007.022091687781</v>
      </c>
      <c r="D238" s="183">
        <f t="shared" si="33"/>
        <v>184.02690768512142</v>
      </c>
      <c r="E238" s="183">
        <f t="shared" si="34"/>
        <v>0</v>
      </c>
      <c r="F238" s="227"/>
      <c r="G238" s="183">
        <f t="shared" si="35"/>
        <v>184.02690768512142</v>
      </c>
      <c r="H238" s="183">
        <f t="shared" si="36"/>
        <v>217.37194450460106</v>
      </c>
      <c r="I238" s="183">
        <f t="shared" si="37"/>
        <v>-33.345036819479638</v>
      </c>
      <c r="J238" s="184">
        <f t="shared" si="38"/>
        <v>-20224.394036192381</v>
      </c>
      <c r="K238" s="51" t="str">
        <f t="shared" si="42"/>
        <v/>
      </c>
      <c r="L238" s="48"/>
    </row>
    <row r="239" spans="1:12" x14ac:dyDescent="0.25">
      <c r="A239" s="35">
        <f t="shared" si="39"/>
        <v>222</v>
      </c>
      <c r="B239" s="182">
        <f t="shared" si="40"/>
        <v>51653</v>
      </c>
      <c r="C239" s="183">
        <f t="shared" si="41"/>
        <v>-20224.394036192381</v>
      </c>
      <c r="D239" s="183">
        <f t="shared" si="33"/>
        <v>184.02690768512142</v>
      </c>
      <c r="E239" s="183">
        <f t="shared" si="34"/>
        <v>0</v>
      </c>
      <c r="F239" s="227"/>
      <c r="G239" s="183">
        <f t="shared" si="35"/>
        <v>184.02690768512142</v>
      </c>
      <c r="H239" s="183">
        <f t="shared" si="36"/>
        <v>217.73423107877539</v>
      </c>
      <c r="I239" s="183">
        <f t="shared" si="37"/>
        <v>-33.707323393653972</v>
      </c>
      <c r="J239" s="184">
        <f t="shared" si="38"/>
        <v>-20442.128267271157</v>
      </c>
      <c r="K239" s="51" t="str">
        <f t="shared" si="42"/>
        <v/>
      </c>
      <c r="L239" s="48"/>
    </row>
    <row r="240" spans="1:12" x14ac:dyDescent="0.25">
      <c r="A240" s="35">
        <f t="shared" si="39"/>
        <v>223</v>
      </c>
      <c r="B240" s="182">
        <f t="shared" si="40"/>
        <v>51683</v>
      </c>
      <c r="C240" s="183">
        <f t="shared" si="41"/>
        <v>-20442.128267271157</v>
      </c>
      <c r="D240" s="183">
        <f t="shared" si="33"/>
        <v>184.02690768512142</v>
      </c>
      <c r="E240" s="183">
        <f t="shared" si="34"/>
        <v>0</v>
      </c>
      <c r="F240" s="227"/>
      <c r="G240" s="183">
        <f t="shared" si="35"/>
        <v>184.02690768512142</v>
      </c>
      <c r="H240" s="183">
        <f t="shared" si="36"/>
        <v>218.09712146390669</v>
      </c>
      <c r="I240" s="183">
        <f t="shared" si="37"/>
        <v>-34.070213778785266</v>
      </c>
      <c r="J240" s="184">
        <f t="shared" si="38"/>
        <v>-20660.225388735063</v>
      </c>
      <c r="K240" s="51" t="str">
        <f t="shared" si="42"/>
        <v/>
      </c>
      <c r="L240" s="48"/>
    </row>
    <row r="241" spans="1:12" x14ac:dyDescent="0.25">
      <c r="A241" s="35">
        <f t="shared" si="39"/>
        <v>224</v>
      </c>
      <c r="B241" s="182">
        <f t="shared" si="40"/>
        <v>51714</v>
      </c>
      <c r="C241" s="183">
        <f t="shared" si="41"/>
        <v>-20660.225388735063</v>
      </c>
      <c r="D241" s="183">
        <f t="shared" si="33"/>
        <v>184.02690768512142</v>
      </c>
      <c r="E241" s="183">
        <f t="shared" si="34"/>
        <v>0</v>
      </c>
      <c r="F241" s="227"/>
      <c r="G241" s="183">
        <f t="shared" si="35"/>
        <v>184.02690768512142</v>
      </c>
      <c r="H241" s="183">
        <f t="shared" si="36"/>
        <v>218.46061666634651</v>
      </c>
      <c r="I241" s="183">
        <f t="shared" si="37"/>
        <v>-34.433708981225102</v>
      </c>
      <c r="J241" s="184">
        <f t="shared" si="38"/>
        <v>-20878.686005401411</v>
      </c>
      <c r="K241" s="51" t="str">
        <f t="shared" si="42"/>
        <v/>
      </c>
      <c r="L241" s="48"/>
    </row>
    <row r="242" spans="1:12" x14ac:dyDescent="0.25">
      <c r="A242" s="35">
        <f t="shared" si="39"/>
        <v>225</v>
      </c>
      <c r="B242" s="182">
        <f t="shared" si="40"/>
        <v>51745</v>
      </c>
      <c r="C242" s="183">
        <f t="shared" si="41"/>
        <v>-20878.686005401411</v>
      </c>
      <c r="D242" s="183">
        <f t="shared" si="33"/>
        <v>184.02690768512142</v>
      </c>
      <c r="E242" s="183">
        <f t="shared" si="34"/>
        <v>0</v>
      </c>
      <c r="F242" s="227"/>
      <c r="G242" s="183">
        <f t="shared" si="35"/>
        <v>184.02690768512142</v>
      </c>
      <c r="H242" s="183">
        <f t="shared" si="36"/>
        <v>218.82471769412376</v>
      </c>
      <c r="I242" s="183">
        <f t="shared" si="37"/>
        <v>-34.797810009002355</v>
      </c>
      <c r="J242" s="184">
        <f t="shared" si="38"/>
        <v>-21097.510723095533</v>
      </c>
      <c r="K242" s="51" t="str">
        <f t="shared" si="42"/>
        <v/>
      </c>
      <c r="L242" s="48"/>
    </row>
    <row r="243" spans="1:12" x14ac:dyDescent="0.25">
      <c r="A243" s="35">
        <f t="shared" si="39"/>
        <v>226</v>
      </c>
      <c r="B243" s="182">
        <f t="shared" si="40"/>
        <v>51775</v>
      </c>
      <c r="C243" s="183">
        <f t="shared" si="41"/>
        <v>-21097.510723095533</v>
      </c>
      <c r="D243" s="183">
        <f t="shared" si="33"/>
        <v>184.02690768512142</v>
      </c>
      <c r="E243" s="183">
        <f t="shared" si="34"/>
        <v>0</v>
      </c>
      <c r="F243" s="227"/>
      <c r="G243" s="183">
        <f t="shared" si="35"/>
        <v>184.02690768512142</v>
      </c>
      <c r="H243" s="183">
        <f t="shared" si="36"/>
        <v>219.1894255569473</v>
      </c>
      <c r="I243" s="183">
        <f t="shared" si="37"/>
        <v>-35.162517871825891</v>
      </c>
      <c r="J243" s="184">
        <f t="shared" si="38"/>
        <v>-21316.700148652479</v>
      </c>
      <c r="K243" s="51" t="str">
        <f t="shared" si="42"/>
        <v/>
      </c>
      <c r="L243" s="48"/>
    </row>
    <row r="244" spans="1:12" x14ac:dyDescent="0.25">
      <c r="A244" s="35">
        <f t="shared" si="39"/>
        <v>227</v>
      </c>
      <c r="B244" s="182">
        <f t="shared" si="40"/>
        <v>51806</v>
      </c>
      <c r="C244" s="183">
        <f t="shared" si="41"/>
        <v>-21316.700148652479</v>
      </c>
      <c r="D244" s="183">
        <f t="shared" si="33"/>
        <v>184.02690768512142</v>
      </c>
      <c r="E244" s="183">
        <f t="shared" si="34"/>
        <v>0</v>
      </c>
      <c r="F244" s="227"/>
      <c r="G244" s="183">
        <f t="shared" si="35"/>
        <v>184.02690768512142</v>
      </c>
      <c r="H244" s="183">
        <f t="shared" si="36"/>
        <v>219.55474126620888</v>
      </c>
      <c r="I244" s="183">
        <f t="shared" si="37"/>
        <v>-35.527833581087464</v>
      </c>
      <c r="J244" s="184">
        <f t="shared" si="38"/>
        <v>-21536.254889918688</v>
      </c>
      <c r="K244" s="51" t="str">
        <f t="shared" si="42"/>
        <v/>
      </c>
      <c r="L244" s="48"/>
    </row>
    <row r="245" spans="1:12" x14ac:dyDescent="0.25">
      <c r="A245" s="35">
        <f t="shared" si="39"/>
        <v>228</v>
      </c>
      <c r="B245" s="182">
        <f t="shared" si="40"/>
        <v>51836</v>
      </c>
      <c r="C245" s="183">
        <f t="shared" si="41"/>
        <v>-21536.254889918688</v>
      </c>
      <c r="D245" s="183">
        <f t="shared" si="33"/>
        <v>184.02690768512142</v>
      </c>
      <c r="E245" s="183">
        <f t="shared" si="34"/>
        <v>0</v>
      </c>
      <c r="F245" s="227"/>
      <c r="G245" s="183">
        <f t="shared" si="35"/>
        <v>184.02690768512142</v>
      </c>
      <c r="H245" s="183">
        <f t="shared" si="36"/>
        <v>219.9206658349859</v>
      </c>
      <c r="I245" s="183">
        <f t="shared" si="37"/>
        <v>-35.893758149864482</v>
      </c>
      <c r="J245" s="184">
        <f t="shared" si="38"/>
        <v>-21756.175555753674</v>
      </c>
      <c r="K245" s="51" t="str">
        <f t="shared" si="42"/>
        <v/>
      </c>
      <c r="L245" s="48"/>
    </row>
    <row r="246" spans="1:12" x14ac:dyDescent="0.25">
      <c r="A246" s="35">
        <f t="shared" si="39"/>
        <v>229</v>
      </c>
      <c r="B246" s="182">
        <f t="shared" si="40"/>
        <v>51867</v>
      </c>
      <c r="C246" s="183">
        <f t="shared" si="41"/>
        <v>-21756.175555753674</v>
      </c>
      <c r="D246" s="183">
        <f t="shared" si="33"/>
        <v>184.02690768512142</v>
      </c>
      <c r="E246" s="183">
        <f t="shared" si="34"/>
        <v>0</v>
      </c>
      <c r="F246" s="227"/>
      <c r="G246" s="183">
        <f t="shared" si="35"/>
        <v>184.02690768512142</v>
      </c>
      <c r="H246" s="183">
        <f t="shared" si="36"/>
        <v>220.2872002780442</v>
      </c>
      <c r="I246" s="183">
        <f t="shared" si="37"/>
        <v>-36.260292592922788</v>
      </c>
      <c r="J246" s="184">
        <f t="shared" si="38"/>
        <v>-21976.46275603172</v>
      </c>
      <c r="K246" s="51" t="str">
        <f t="shared" si="42"/>
        <v/>
      </c>
      <c r="L246" s="48"/>
    </row>
    <row r="247" spans="1:12" x14ac:dyDescent="0.25">
      <c r="A247" s="35">
        <f t="shared" si="39"/>
        <v>230</v>
      </c>
      <c r="B247" s="182">
        <f t="shared" si="40"/>
        <v>51898</v>
      </c>
      <c r="C247" s="183">
        <f t="shared" si="41"/>
        <v>-21976.46275603172</v>
      </c>
      <c r="D247" s="183">
        <f t="shared" si="33"/>
        <v>184.02690768512142</v>
      </c>
      <c r="E247" s="183">
        <f t="shared" si="34"/>
        <v>0</v>
      </c>
      <c r="F247" s="227"/>
      <c r="G247" s="183">
        <f t="shared" si="35"/>
        <v>184.02690768512142</v>
      </c>
      <c r="H247" s="183">
        <f t="shared" si="36"/>
        <v>220.65434561184094</v>
      </c>
      <c r="I247" s="183">
        <f t="shared" si="37"/>
        <v>-36.62743792671953</v>
      </c>
      <c r="J247" s="184">
        <f t="shared" si="38"/>
        <v>-22197.117101643562</v>
      </c>
      <c r="K247" s="51" t="str">
        <f t="shared" si="42"/>
        <v/>
      </c>
      <c r="L247" s="48"/>
    </row>
    <row r="248" spans="1:12" x14ac:dyDescent="0.25">
      <c r="A248" s="35">
        <f t="shared" si="39"/>
        <v>231</v>
      </c>
      <c r="B248" s="182">
        <f t="shared" si="40"/>
        <v>51926</v>
      </c>
      <c r="C248" s="183">
        <f t="shared" si="41"/>
        <v>-22197.117101643562</v>
      </c>
      <c r="D248" s="183">
        <f t="shared" si="33"/>
        <v>184.02690768512142</v>
      </c>
      <c r="E248" s="183">
        <f t="shared" si="34"/>
        <v>0</v>
      </c>
      <c r="F248" s="227"/>
      <c r="G248" s="183">
        <f t="shared" si="35"/>
        <v>184.02690768512142</v>
      </c>
      <c r="H248" s="183">
        <f t="shared" si="36"/>
        <v>221.02210285452736</v>
      </c>
      <c r="I248" s="183">
        <f t="shared" si="37"/>
        <v>-36.995195169405939</v>
      </c>
      <c r="J248" s="184">
        <f t="shared" si="38"/>
        <v>-22418.139204498089</v>
      </c>
      <c r="K248" s="51" t="str">
        <f t="shared" si="42"/>
        <v/>
      </c>
      <c r="L248" s="48"/>
    </row>
    <row r="249" spans="1:12" x14ac:dyDescent="0.25">
      <c r="A249" s="35">
        <f t="shared" si="39"/>
        <v>232</v>
      </c>
      <c r="B249" s="182">
        <f t="shared" si="40"/>
        <v>51957</v>
      </c>
      <c r="C249" s="183">
        <f t="shared" si="41"/>
        <v>-22418.139204498089</v>
      </c>
      <c r="D249" s="183">
        <f t="shared" si="33"/>
        <v>184.02690768512142</v>
      </c>
      <c r="E249" s="183">
        <f t="shared" si="34"/>
        <v>0</v>
      </c>
      <c r="F249" s="227"/>
      <c r="G249" s="183">
        <f t="shared" si="35"/>
        <v>184.02690768512142</v>
      </c>
      <c r="H249" s="183">
        <f t="shared" si="36"/>
        <v>221.39047302595156</v>
      </c>
      <c r="I249" s="183">
        <f t="shared" si="37"/>
        <v>-37.363565340830149</v>
      </c>
      <c r="J249" s="184">
        <f t="shared" si="38"/>
        <v>-22639.529677524042</v>
      </c>
      <c r="K249" s="51" t="str">
        <f t="shared" si="42"/>
        <v/>
      </c>
      <c r="L249" s="48"/>
    </row>
    <row r="250" spans="1:12" x14ac:dyDescent="0.25">
      <c r="A250" s="35">
        <f t="shared" si="39"/>
        <v>233</v>
      </c>
      <c r="B250" s="182">
        <f t="shared" si="40"/>
        <v>51987</v>
      </c>
      <c r="C250" s="183">
        <f t="shared" si="41"/>
        <v>-22639.529677524042</v>
      </c>
      <c r="D250" s="183">
        <f t="shared" si="33"/>
        <v>184.02690768512142</v>
      </c>
      <c r="E250" s="183">
        <f t="shared" si="34"/>
        <v>0</v>
      </c>
      <c r="F250" s="227"/>
      <c r="G250" s="183">
        <f t="shared" si="35"/>
        <v>184.02690768512142</v>
      </c>
      <c r="H250" s="183">
        <f t="shared" si="36"/>
        <v>221.75945714766149</v>
      </c>
      <c r="I250" s="183">
        <f t="shared" si="37"/>
        <v>-37.732549462540071</v>
      </c>
      <c r="J250" s="184">
        <f t="shared" si="38"/>
        <v>-22861.289134671704</v>
      </c>
      <c r="K250" s="51" t="str">
        <f t="shared" si="42"/>
        <v/>
      </c>
      <c r="L250" s="48"/>
    </row>
    <row r="251" spans="1:12" x14ac:dyDescent="0.25">
      <c r="A251" s="35">
        <f t="shared" si="39"/>
        <v>234</v>
      </c>
      <c r="B251" s="182">
        <f t="shared" si="40"/>
        <v>52018</v>
      </c>
      <c r="C251" s="183">
        <f t="shared" si="41"/>
        <v>-22861.289134671704</v>
      </c>
      <c r="D251" s="183">
        <f t="shared" si="33"/>
        <v>184.02690768512142</v>
      </c>
      <c r="E251" s="183">
        <f t="shared" si="34"/>
        <v>0</v>
      </c>
      <c r="F251" s="227"/>
      <c r="G251" s="183">
        <f t="shared" si="35"/>
        <v>184.02690768512142</v>
      </c>
      <c r="H251" s="183">
        <f t="shared" si="36"/>
        <v>222.12905624290758</v>
      </c>
      <c r="I251" s="183">
        <f t="shared" si="37"/>
        <v>-38.102148557786172</v>
      </c>
      <c r="J251" s="184">
        <f t="shared" si="38"/>
        <v>-23083.41819091461</v>
      </c>
      <c r="K251" s="51" t="str">
        <f t="shared" si="42"/>
        <v/>
      </c>
      <c r="L251" s="48"/>
    </row>
    <row r="252" spans="1:12" x14ac:dyDescent="0.25">
      <c r="A252" s="35">
        <f t="shared" si="39"/>
        <v>235</v>
      </c>
      <c r="B252" s="182">
        <f t="shared" si="40"/>
        <v>52048</v>
      </c>
      <c r="C252" s="183">
        <f t="shared" si="41"/>
        <v>-23083.41819091461</v>
      </c>
      <c r="D252" s="183">
        <f t="shared" si="33"/>
        <v>184.02690768512142</v>
      </c>
      <c r="E252" s="183">
        <f t="shared" si="34"/>
        <v>0</v>
      </c>
      <c r="F252" s="227"/>
      <c r="G252" s="183">
        <f t="shared" si="35"/>
        <v>184.02690768512142</v>
      </c>
      <c r="H252" s="183">
        <f t="shared" si="36"/>
        <v>222.49927133664576</v>
      </c>
      <c r="I252" s="183">
        <f t="shared" si="37"/>
        <v>-38.472363651524354</v>
      </c>
      <c r="J252" s="184">
        <f t="shared" si="38"/>
        <v>-23305.917462251255</v>
      </c>
      <c r="K252" s="51" t="str">
        <f t="shared" si="42"/>
        <v/>
      </c>
      <c r="L252" s="48"/>
    </row>
    <row r="253" spans="1:12" x14ac:dyDescent="0.25">
      <c r="A253" s="35">
        <f t="shared" si="39"/>
        <v>236</v>
      </c>
      <c r="B253" s="182">
        <f t="shared" si="40"/>
        <v>52079</v>
      </c>
      <c r="C253" s="183">
        <f t="shared" si="41"/>
        <v>-23305.917462251255</v>
      </c>
      <c r="D253" s="183">
        <f t="shared" si="33"/>
        <v>184.02690768512142</v>
      </c>
      <c r="E253" s="183">
        <f t="shared" si="34"/>
        <v>0</v>
      </c>
      <c r="F253" s="227"/>
      <c r="G253" s="183">
        <f t="shared" si="35"/>
        <v>184.02690768512142</v>
      </c>
      <c r="H253" s="183">
        <f t="shared" si="36"/>
        <v>222.87010345554017</v>
      </c>
      <c r="I253" s="183">
        <f t="shared" si="37"/>
        <v>-38.84319577041876</v>
      </c>
      <c r="J253" s="184">
        <f t="shared" si="38"/>
        <v>-23528.787565706796</v>
      </c>
      <c r="K253" s="51" t="str">
        <f t="shared" si="42"/>
        <v/>
      </c>
      <c r="L253" s="48"/>
    </row>
    <row r="254" spans="1:12" x14ac:dyDescent="0.25">
      <c r="A254" s="35">
        <f t="shared" si="39"/>
        <v>237</v>
      </c>
      <c r="B254" s="182">
        <f t="shared" si="40"/>
        <v>52110</v>
      </c>
      <c r="C254" s="183">
        <f t="shared" si="41"/>
        <v>-23528.787565706796</v>
      </c>
      <c r="D254" s="183">
        <f t="shared" si="33"/>
        <v>184.02690768512142</v>
      </c>
      <c r="E254" s="183">
        <f t="shared" si="34"/>
        <v>0</v>
      </c>
      <c r="F254" s="227"/>
      <c r="G254" s="183">
        <f t="shared" si="35"/>
        <v>184.02690768512142</v>
      </c>
      <c r="H254" s="183">
        <f t="shared" si="36"/>
        <v>223.24155362796608</v>
      </c>
      <c r="I254" s="183">
        <f t="shared" si="37"/>
        <v>-39.214645942844662</v>
      </c>
      <c r="J254" s="184">
        <f t="shared" si="38"/>
        <v>-23752.029119334762</v>
      </c>
      <c r="K254" s="51" t="str">
        <f t="shared" si="42"/>
        <v/>
      </c>
      <c r="L254" s="48"/>
    </row>
    <row r="255" spans="1:12" x14ac:dyDescent="0.25">
      <c r="A255" s="35">
        <f t="shared" si="39"/>
        <v>238</v>
      </c>
      <c r="B255" s="182">
        <f t="shared" si="40"/>
        <v>52140</v>
      </c>
      <c r="C255" s="183">
        <f t="shared" si="41"/>
        <v>-23752.029119334762</v>
      </c>
      <c r="D255" s="183">
        <f t="shared" si="33"/>
        <v>184.02690768512142</v>
      </c>
      <c r="E255" s="183">
        <f t="shared" si="34"/>
        <v>0</v>
      </c>
      <c r="F255" s="227"/>
      <c r="G255" s="183">
        <f t="shared" si="35"/>
        <v>184.02690768512142</v>
      </c>
      <c r="H255" s="183">
        <f t="shared" si="36"/>
        <v>223.61362288401267</v>
      </c>
      <c r="I255" s="183">
        <f t="shared" si="37"/>
        <v>-39.58671519889127</v>
      </c>
      <c r="J255" s="184">
        <f t="shared" si="38"/>
        <v>-23975.642742218773</v>
      </c>
      <c r="K255" s="51" t="str">
        <f t="shared" si="42"/>
        <v/>
      </c>
      <c r="L255" s="48"/>
    </row>
    <row r="256" spans="1:12" x14ac:dyDescent="0.25">
      <c r="A256" s="35">
        <f t="shared" si="39"/>
        <v>239</v>
      </c>
      <c r="B256" s="182">
        <f t="shared" si="40"/>
        <v>52171</v>
      </c>
      <c r="C256" s="183">
        <f t="shared" si="41"/>
        <v>-23975.642742218773</v>
      </c>
      <c r="D256" s="183">
        <f t="shared" si="33"/>
        <v>184.02690768512142</v>
      </c>
      <c r="E256" s="183">
        <f t="shared" si="34"/>
        <v>0</v>
      </c>
      <c r="F256" s="227"/>
      <c r="G256" s="183">
        <f t="shared" si="35"/>
        <v>184.02690768512142</v>
      </c>
      <c r="H256" s="183">
        <f t="shared" si="36"/>
        <v>223.98631225548604</v>
      </c>
      <c r="I256" s="183">
        <f t="shared" si="37"/>
        <v>-39.959404570364619</v>
      </c>
      <c r="J256" s="184">
        <f t="shared" si="38"/>
        <v>-24199.629054474259</v>
      </c>
      <c r="K256" s="51" t="str">
        <f t="shared" si="42"/>
        <v/>
      </c>
      <c r="L256" s="48"/>
    </row>
    <row r="257" spans="1:12" x14ac:dyDescent="0.25">
      <c r="A257" s="35">
        <f t="shared" si="39"/>
        <v>240</v>
      </c>
      <c r="B257" s="182">
        <f t="shared" si="40"/>
        <v>52201</v>
      </c>
      <c r="C257" s="183">
        <f t="shared" si="41"/>
        <v>-24199.629054474259</v>
      </c>
      <c r="D257" s="183">
        <f t="shared" si="33"/>
        <v>184.02690768512142</v>
      </c>
      <c r="E257" s="183">
        <f t="shared" si="34"/>
        <v>0</v>
      </c>
      <c r="F257" s="227"/>
      <c r="G257" s="183">
        <f t="shared" si="35"/>
        <v>184.02690768512142</v>
      </c>
      <c r="H257" s="183">
        <f t="shared" si="36"/>
        <v>224.35962277591184</v>
      </c>
      <c r="I257" s="183">
        <f t="shared" si="37"/>
        <v>-40.33271509079043</v>
      </c>
      <c r="J257" s="184">
        <f t="shared" si="38"/>
        <v>-24423.98867725017</v>
      </c>
      <c r="K257" s="51" t="str">
        <f t="shared" si="42"/>
        <v/>
      </c>
      <c r="L257" s="48"/>
    </row>
    <row r="258" spans="1:12" x14ac:dyDescent="0.25">
      <c r="A258" s="35">
        <f t="shared" si="39"/>
        <v>241</v>
      </c>
      <c r="B258" s="182">
        <f t="shared" si="40"/>
        <v>52232</v>
      </c>
      <c r="C258" s="183">
        <f t="shared" si="41"/>
        <v>-24423.98867725017</v>
      </c>
      <c r="D258" s="183">
        <f t="shared" si="33"/>
        <v>184.02690768512142</v>
      </c>
      <c r="E258" s="183">
        <f t="shared" si="34"/>
        <v>0</v>
      </c>
      <c r="F258" s="227"/>
      <c r="G258" s="183">
        <f t="shared" si="35"/>
        <v>184.02690768512142</v>
      </c>
      <c r="H258" s="183">
        <f t="shared" si="36"/>
        <v>224.73355548053837</v>
      </c>
      <c r="I258" s="183">
        <f t="shared" si="37"/>
        <v>-40.706647795416949</v>
      </c>
      <c r="J258" s="184">
        <f t="shared" si="38"/>
        <v>-24648.72223273071</v>
      </c>
      <c r="K258" s="51" t="str">
        <f t="shared" si="42"/>
        <v/>
      </c>
      <c r="L258" s="48"/>
    </row>
    <row r="259" spans="1:12" x14ac:dyDescent="0.25">
      <c r="A259" s="35">
        <f t="shared" si="39"/>
        <v>242</v>
      </c>
      <c r="B259" s="182">
        <f t="shared" si="40"/>
        <v>52263</v>
      </c>
      <c r="C259" s="183">
        <f t="shared" si="41"/>
        <v>-24648.72223273071</v>
      </c>
      <c r="D259" s="183">
        <f t="shared" si="33"/>
        <v>184.02690768512142</v>
      </c>
      <c r="E259" s="183">
        <f t="shared" si="34"/>
        <v>0</v>
      </c>
      <c r="F259" s="227"/>
      <c r="G259" s="183">
        <f t="shared" si="35"/>
        <v>184.02690768512142</v>
      </c>
      <c r="H259" s="183">
        <f t="shared" si="36"/>
        <v>225.10811140633928</v>
      </c>
      <c r="I259" s="183">
        <f t="shared" si="37"/>
        <v>-41.081203721217854</v>
      </c>
      <c r="J259" s="184">
        <f t="shared" si="38"/>
        <v>-24873.830344137048</v>
      </c>
      <c r="K259" s="51" t="str">
        <f t="shared" si="42"/>
        <v/>
      </c>
      <c r="L259" s="48"/>
    </row>
    <row r="260" spans="1:12" x14ac:dyDescent="0.25">
      <c r="A260" s="35">
        <f t="shared" si="39"/>
        <v>243</v>
      </c>
      <c r="B260" s="182">
        <f t="shared" si="40"/>
        <v>52291</v>
      </c>
      <c r="C260" s="183">
        <f t="shared" si="41"/>
        <v>-24873.830344137048</v>
      </c>
      <c r="D260" s="183">
        <f t="shared" si="33"/>
        <v>184.02690768512142</v>
      </c>
      <c r="E260" s="183">
        <f t="shared" si="34"/>
        <v>0</v>
      </c>
      <c r="F260" s="227"/>
      <c r="G260" s="183">
        <f t="shared" si="35"/>
        <v>184.02690768512142</v>
      </c>
      <c r="H260" s="183">
        <f t="shared" si="36"/>
        <v>225.48329159201649</v>
      </c>
      <c r="I260" s="183">
        <f t="shared" si="37"/>
        <v>-41.456383906895077</v>
      </c>
      <c r="J260" s="184">
        <f t="shared" si="38"/>
        <v>-25099.313635729064</v>
      </c>
      <c r="K260" s="51" t="str">
        <f t="shared" si="42"/>
        <v/>
      </c>
      <c r="L260" s="48"/>
    </row>
    <row r="261" spans="1:12" x14ac:dyDescent="0.25">
      <c r="A261" s="35">
        <f t="shared" si="39"/>
        <v>244</v>
      </c>
      <c r="B261" s="182">
        <f t="shared" si="40"/>
        <v>52322</v>
      </c>
      <c r="C261" s="183">
        <f t="shared" si="41"/>
        <v>-25099.313635729064</v>
      </c>
      <c r="D261" s="183">
        <f t="shared" si="33"/>
        <v>184.02690768512142</v>
      </c>
      <c r="E261" s="183">
        <f t="shared" si="34"/>
        <v>0</v>
      </c>
      <c r="F261" s="227"/>
      <c r="G261" s="183">
        <f t="shared" si="35"/>
        <v>184.02690768512142</v>
      </c>
      <c r="H261" s="183">
        <f t="shared" si="36"/>
        <v>225.85909707800317</v>
      </c>
      <c r="I261" s="183">
        <f t="shared" si="37"/>
        <v>-41.832189392881773</v>
      </c>
      <c r="J261" s="184">
        <f t="shared" si="38"/>
        <v>-25325.172732807066</v>
      </c>
      <c r="K261" s="51" t="str">
        <f t="shared" si="42"/>
        <v/>
      </c>
      <c r="L261" s="48"/>
    </row>
    <row r="262" spans="1:12" x14ac:dyDescent="0.25">
      <c r="A262" s="35">
        <f t="shared" si="39"/>
        <v>245</v>
      </c>
      <c r="B262" s="182">
        <f t="shared" si="40"/>
        <v>52352</v>
      </c>
      <c r="C262" s="183">
        <f t="shared" si="41"/>
        <v>-25325.172732807066</v>
      </c>
      <c r="D262" s="183">
        <f t="shared" si="33"/>
        <v>184.02690768512142</v>
      </c>
      <c r="E262" s="183">
        <f t="shared" si="34"/>
        <v>0</v>
      </c>
      <c r="F262" s="227"/>
      <c r="G262" s="183">
        <f t="shared" si="35"/>
        <v>184.02690768512142</v>
      </c>
      <c r="H262" s="183">
        <f t="shared" si="36"/>
        <v>226.23552890646653</v>
      </c>
      <c r="I262" s="183">
        <f t="shared" si="37"/>
        <v>-42.208621221345112</v>
      </c>
      <c r="J262" s="184">
        <f t="shared" si="38"/>
        <v>-25551.408261713532</v>
      </c>
      <c r="K262" s="51" t="str">
        <f t="shared" si="42"/>
        <v/>
      </c>
      <c r="L262" s="48"/>
    </row>
    <row r="263" spans="1:12" x14ac:dyDescent="0.25">
      <c r="A263" s="35">
        <f t="shared" si="39"/>
        <v>246</v>
      </c>
      <c r="B263" s="182">
        <f t="shared" si="40"/>
        <v>52383</v>
      </c>
      <c r="C263" s="183">
        <f t="shared" si="41"/>
        <v>-25551.408261713532</v>
      </c>
      <c r="D263" s="183">
        <f t="shared" si="33"/>
        <v>184.02690768512142</v>
      </c>
      <c r="E263" s="183">
        <f t="shared" si="34"/>
        <v>0</v>
      </c>
      <c r="F263" s="227"/>
      <c r="G263" s="183">
        <f t="shared" si="35"/>
        <v>184.02690768512142</v>
      </c>
      <c r="H263" s="183">
        <f t="shared" si="36"/>
        <v>226.61258812131064</v>
      </c>
      <c r="I263" s="183">
        <f t="shared" si="37"/>
        <v>-42.585680436189222</v>
      </c>
      <c r="J263" s="184">
        <f t="shared" si="38"/>
        <v>-25778.020849834844</v>
      </c>
      <c r="K263" s="51" t="str">
        <f t="shared" si="42"/>
        <v/>
      </c>
      <c r="L263" s="48"/>
    </row>
    <row r="264" spans="1:12" x14ac:dyDescent="0.25">
      <c r="A264" s="35">
        <f t="shared" si="39"/>
        <v>247</v>
      </c>
      <c r="B264" s="182">
        <f t="shared" si="40"/>
        <v>52413</v>
      </c>
      <c r="C264" s="183">
        <f t="shared" si="41"/>
        <v>-25778.020849834844</v>
      </c>
      <c r="D264" s="183">
        <f t="shared" si="33"/>
        <v>184.02690768512142</v>
      </c>
      <c r="E264" s="183">
        <f t="shared" si="34"/>
        <v>0</v>
      </c>
      <c r="F264" s="227"/>
      <c r="G264" s="183">
        <f t="shared" si="35"/>
        <v>184.02690768512142</v>
      </c>
      <c r="H264" s="183">
        <f t="shared" si="36"/>
        <v>226.99027576817949</v>
      </c>
      <c r="I264" s="183">
        <f t="shared" si="37"/>
        <v>-42.963368083058072</v>
      </c>
      <c r="J264" s="184">
        <f t="shared" si="38"/>
        <v>-26005.011125603025</v>
      </c>
      <c r="K264" s="51" t="str">
        <f t="shared" si="42"/>
        <v/>
      </c>
      <c r="L264" s="48"/>
    </row>
    <row r="265" spans="1:12" x14ac:dyDescent="0.25">
      <c r="A265" s="35">
        <f t="shared" si="39"/>
        <v>248</v>
      </c>
      <c r="B265" s="182">
        <f t="shared" si="40"/>
        <v>52444</v>
      </c>
      <c r="C265" s="183">
        <f t="shared" si="41"/>
        <v>-26005.011125603025</v>
      </c>
      <c r="D265" s="183">
        <f t="shared" si="33"/>
        <v>184.02690768512142</v>
      </c>
      <c r="E265" s="183">
        <f t="shared" si="34"/>
        <v>0</v>
      </c>
      <c r="F265" s="227"/>
      <c r="G265" s="183">
        <f t="shared" si="35"/>
        <v>184.02690768512142</v>
      </c>
      <c r="H265" s="183">
        <f t="shared" si="36"/>
        <v>227.36859289445979</v>
      </c>
      <c r="I265" s="183">
        <f t="shared" si="37"/>
        <v>-43.34168520933838</v>
      </c>
      <c r="J265" s="184">
        <f t="shared" si="38"/>
        <v>-26232.379718497486</v>
      </c>
      <c r="K265" s="51" t="str">
        <f t="shared" si="42"/>
        <v/>
      </c>
      <c r="L265" s="48"/>
    </row>
    <row r="266" spans="1:12" x14ac:dyDescent="0.25">
      <c r="A266" s="35">
        <f t="shared" si="39"/>
        <v>249</v>
      </c>
      <c r="B266" s="182">
        <f t="shared" si="40"/>
        <v>52475</v>
      </c>
      <c r="C266" s="183">
        <f t="shared" si="41"/>
        <v>-26232.379718497486</v>
      </c>
      <c r="D266" s="183">
        <f t="shared" si="33"/>
        <v>184.02690768512142</v>
      </c>
      <c r="E266" s="183">
        <f t="shared" si="34"/>
        <v>0</v>
      </c>
      <c r="F266" s="227"/>
      <c r="G266" s="183">
        <f t="shared" si="35"/>
        <v>184.02690768512142</v>
      </c>
      <c r="H266" s="183">
        <f t="shared" si="36"/>
        <v>227.74754054928388</v>
      </c>
      <c r="I266" s="183">
        <f t="shared" si="37"/>
        <v>-43.720632864162475</v>
      </c>
      <c r="J266" s="184">
        <f t="shared" si="38"/>
        <v>-26460.127259046771</v>
      </c>
      <c r="K266" s="51" t="str">
        <f t="shared" si="42"/>
        <v/>
      </c>
      <c r="L266" s="48"/>
    </row>
    <row r="267" spans="1:12" x14ac:dyDescent="0.25">
      <c r="A267" s="35">
        <f t="shared" si="39"/>
        <v>250</v>
      </c>
      <c r="B267" s="182">
        <f t="shared" si="40"/>
        <v>52505</v>
      </c>
      <c r="C267" s="183">
        <f t="shared" si="41"/>
        <v>-26460.127259046771</v>
      </c>
      <c r="D267" s="183">
        <f t="shared" si="33"/>
        <v>184.02690768512142</v>
      </c>
      <c r="E267" s="183">
        <f t="shared" si="34"/>
        <v>0</v>
      </c>
      <c r="F267" s="227"/>
      <c r="G267" s="183">
        <f t="shared" si="35"/>
        <v>184.02690768512142</v>
      </c>
      <c r="H267" s="183">
        <f t="shared" si="36"/>
        <v>228.12711978353269</v>
      </c>
      <c r="I267" s="183">
        <f t="shared" si="37"/>
        <v>-44.100212098411284</v>
      </c>
      <c r="J267" s="184">
        <f t="shared" si="38"/>
        <v>-26688.254378830305</v>
      </c>
      <c r="K267" s="51" t="str">
        <f t="shared" si="42"/>
        <v/>
      </c>
      <c r="L267" s="48"/>
    </row>
    <row r="268" spans="1:12" x14ac:dyDescent="0.25">
      <c r="A268" s="35">
        <f t="shared" si="39"/>
        <v>251</v>
      </c>
      <c r="B268" s="182">
        <f t="shared" si="40"/>
        <v>52536</v>
      </c>
      <c r="C268" s="183">
        <f t="shared" si="41"/>
        <v>-26688.254378830305</v>
      </c>
      <c r="D268" s="183">
        <f t="shared" si="33"/>
        <v>184.02690768512142</v>
      </c>
      <c r="E268" s="183">
        <f t="shared" si="34"/>
        <v>0</v>
      </c>
      <c r="F268" s="227"/>
      <c r="G268" s="183">
        <f t="shared" si="35"/>
        <v>184.02690768512142</v>
      </c>
      <c r="H268" s="183">
        <f t="shared" si="36"/>
        <v>228.50733164983859</v>
      </c>
      <c r="I268" s="183">
        <f t="shared" si="37"/>
        <v>-44.480423964717176</v>
      </c>
      <c r="J268" s="184">
        <f t="shared" si="38"/>
        <v>-26916.761710480143</v>
      </c>
      <c r="K268" s="51" t="str">
        <f t="shared" si="42"/>
        <v/>
      </c>
      <c r="L268" s="48"/>
    </row>
    <row r="269" spans="1:12" x14ac:dyDescent="0.25">
      <c r="A269" s="35">
        <f t="shared" si="39"/>
        <v>252</v>
      </c>
      <c r="B269" s="182">
        <f t="shared" si="40"/>
        <v>52566</v>
      </c>
      <c r="C269" s="183">
        <f t="shared" si="41"/>
        <v>-26916.761710480143</v>
      </c>
      <c r="D269" s="183">
        <f t="shared" si="33"/>
        <v>184.02690768512142</v>
      </c>
      <c r="E269" s="183">
        <f t="shared" si="34"/>
        <v>0</v>
      </c>
      <c r="F269" s="227"/>
      <c r="G269" s="183">
        <f t="shared" si="35"/>
        <v>184.02690768512142</v>
      </c>
      <c r="H269" s="183">
        <f t="shared" si="36"/>
        <v>228.88817720258831</v>
      </c>
      <c r="I269" s="183">
        <f t="shared" si="37"/>
        <v>-44.861269517466901</v>
      </c>
      <c r="J269" s="184">
        <f t="shared" si="38"/>
        <v>-27145.649887682732</v>
      </c>
      <c r="K269" s="51" t="str">
        <f t="shared" si="42"/>
        <v/>
      </c>
      <c r="L269" s="48"/>
    </row>
    <row r="270" spans="1:12" x14ac:dyDescent="0.25">
      <c r="A270" s="35">
        <f t="shared" si="39"/>
        <v>253</v>
      </c>
      <c r="B270" s="182">
        <f t="shared" si="40"/>
        <v>52597</v>
      </c>
      <c r="C270" s="183">
        <f t="shared" si="41"/>
        <v>-27145.649887682732</v>
      </c>
      <c r="D270" s="183">
        <f t="shared" si="33"/>
        <v>184.02690768512142</v>
      </c>
      <c r="E270" s="183">
        <f t="shared" si="34"/>
        <v>0</v>
      </c>
      <c r="F270" s="227"/>
      <c r="G270" s="183">
        <f t="shared" si="35"/>
        <v>184.02690768512142</v>
      </c>
      <c r="H270" s="183">
        <f t="shared" si="36"/>
        <v>229.26965749792598</v>
      </c>
      <c r="I270" s="183">
        <f t="shared" si="37"/>
        <v>-45.242749812804554</v>
      </c>
      <c r="J270" s="184">
        <f t="shared" si="38"/>
        <v>-27374.919545180659</v>
      </c>
      <c r="K270" s="51" t="str">
        <f t="shared" si="42"/>
        <v/>
      </c>
      <c r="L270" s="48"/>
    </row>
    <row r="271" spans="1:12" x14ac:dyDescent="0.25">
      <c r="A271" s="35">
        <f t="shared" si="39"/>
        <v>254</v>
      </c>
      <c r="B271" s="182">
        <f t="shared" si="40"/>
        <v>52628</v>
      </c>
      <c r="C271" s="183">
        <f t="shared" si="41"/>
        <v>-27374.919545180659</v>
      </c>
      <c r="D271" s="183">
        <f t="shared" si="33"/>
        <v>184.02690768512142</v>
      </c>
      <c r="E271" s="183">
        <f t="shared" si="34"/>
        <v>0</v>
      </c>
      <c r="F271" s="227"/>
      <c r="G271" s="183">
        <f t="shared" si="35"/>
        <v>184.02690768512142</v>
      </c>
      <c r="H271" s="183">
        <f t="shared" si="36"/>
        <v>229.65177359375585</v>
      </c>
      <c r="I271" s="183">
        <f t="shared" si="37"/>
        <v>-45.624865908634433</v>
      </c>
      <c r="J271" s="184">
        <f t="shared" si="38"/>
        <v>-27604.571318774415</v>
      </c>
      <c r="K271" s="51" t="str">
        <f t="shared" si="42"/>
        <v/>
      </c>
      <c r="L271" s="48"/>
    </row>
    <row r="272" spans="1:12" x14ac:dyDescent="0.25">
      <c r="A272" s="35">
        <f t="shared" si="39"/>
        <v>255</v>
      </c>
      <c r="B272" s="182">
        <f t="shared" si="40"/>
        <v>52657</v>
      </c>
      <c r="C272" s="183">
        <f t="shared" si="41"/>
        <v>-27604.571318774415</v>
      </c>
      <c r="D272" s="183">
        <f t="shared" si="33"/>
        <v>184.02690768512142</v>
      </c>
      <c r="E272" s="183">
        <f t="shared" si="34"/>
        <v>0</v>
      </c>
      <c r="F272" s="227"/>
      <c r="G272" s="183">
        <f t="shared" si="35"/>
        <v>184.02690768512142</v>
      </c>
      <c r="H272" s="183">
        <f t="shared" si="36"/>
        <v>230.03452654974544</v>
      </c>
      <c r="I272" s="183">
        <f t="shared" si="37"/>
        <v>-46.007618864624028</v>
      </c>
      <c r="J272" s="184">
        <f t="shared" si="38"/>
        <v>-27834.60584532416</v>
      </c>
      <c r="K272" s="51" t="str">
        <f t="shared" si="42"/>
        <v/>
      </c>
      <c r="L272" s="48"/>
    </row>
    <row r="273" spans="1:12" x14ac:dyDescent="0.25">
      <c r="A273" s="35">
        <f t="shared" si="39"/>
        <v>256</v>
      </c>
      <c r="B273" s="182">
        <f t="shared" si="40"/>
        <v>52688</v>
      </c>
      <c r="C273" s="183">
        <f t="shared" si="41"/>
        <v>-27834.60584532416</v>
      </c>
      <c r="D273" s="183">
        <f t="shared" si="33"/>
        <v>184.02690768512142</v>
      </c>
      <c r="E273" s="183">
        <f t="shared" si="34"/>
        <v>0</v>
      </c>
      <c r="F273" s="227"/>
      <c r="G273" s="183">
        <f t="shared" si="35"/>
        <v>184.02690768512142</v>
      </c>
      <c r="H273" s="183">
        <f t="shared" si="36"/>
        <v>230.41791742732835</v>
      </c>
      <c r="I273" s="183">
        <f t="shared" si="37"/>
        <v>-46.391009742206933</v>
      </c>
      <c r="J273" s="184">
        <f t="shared" si="38"/>
        <v>-28065.023762751487</v>
      </c>
      <c r="K273" s="51" t="str">
        <f t="shared" si="42"/>
        <v/>
      </c>
      <c r="L273" s="48"/>
    </row>
    <row r="274" spans="1:12" x14ac:dyDescent="0.25">
      <c r="A274" s="35">
        <f t="shared" si="39"/>
        <v>257</v>
      </c>
      <c r="B274" s="182">
        <f t="shared" si="40"/>
        <v>52718</v>
      </c>
      <c r="C274" s="183">
        <f t="shared" si="41"/>
        <v>-28065.023762751487</v>
      </c>
      <c r="D274" s="183">
        <f t="shared" ref="D274:D337" si="43">IF(Pay_Num&lt;&gt;"",Scheduled_Monthly_Payment,"")</f>
        <v>184.02690768512142</v>
      </c>
      <c r="E274" s="183">
        <f t="shared" ref="E274:E337" si="44">IF(Pay_Num&lt;&gt;"",Scheduled_Extra_Payments,"")</f>
        <v>0</v>
      </c>
      <c r="F274" s="227"/>
      <c r="G274" s="183">
        <f t="shared" ref="G274:G337" si="45">IF(Pay_Num&lt;&gt;"",Sched_Pay+Extra_Pay,"")+F274</f>
        <v>184.02690768512142</v>
      </c>
      <c r="H274" s="183">
        <f t="shared" ref="H274:H337" si="46">IF(Pay_Num&lt;&gt;"",Total_Pay-Int,"")</f>
        <v>230.80194728970721</v>
      </c>
      <c r="I274" s="183">
        <f t="shared" ref="I274:I337" si="47">IF(Pay_Num&lt;&gt;"",Beg_Bal*Interest_Rate/12,"")</f>
        <v>-46.775039604585807</v>
      </c>
      <c r="J274" s="184">
        <f t="shared" ref="J274:J337" si="48">IF(Pay_Num&lt;&gt;"",Beg_Bal-Princ,"")</f>
        <v>-28295.825710041194</v>
      </c>
      <c r="K274" s="51" t="str">
        <f t="shared" si="42"/>
        <v/>
      </c>
      <c r="L274" s="48"/>
    </row>
    <row r="275" spans="1:12" x14ac:dyDescent="0.25">
      <c r="A275" s="35">
        <f t="shared" ref="A275:A338" si="49">IF(Values_Entered,A274+1,"")</f>
        <v>258</v>
      </c>
      <c r="B275" s="182">
        <f t="shared" ref="B275:B338" si="50">IF(Pay_Num&lt;&gt;"",DATE(YEAR(B274),MONTH(B274)+1,DAY(B274)),"")</f>
        <v>52749</v>
      </c>
      <c r="C275" s="183">
        <f t="shared" ref="C275:C338" si="51">IF(Pay_Num&lt;&gt;"",J274,"")</f>
        <v>-28295.825710041194</v>
      </c>
      <c r="D275" s="183">
        <f t="shared" si="43"/>
        <v>184.02690768512142</v>
      </c>
      <c r="E275" s="183">
        <f t="shared" si="44"/>
        <v>0</v>
      </c>
      <c r="F275" s="227"/>
      <c r="G275" s="183">
        <f t="shared" si="45"/>
        <v>184.02690768512142</v>
      </c>
      <c r="H275" s="183">
        <f t="shared" si="46"/>
        <v>231.18661720185673</v>
      </c>
      <c r="I275" s="183">
        <f t="shared" si="47"/>
        <v>-47.159709516735326</v>
      </c>
      <c r="J275" s="184">
        <f t="shared" si="48"/>
        <v>-28527.01232724305</v>
      </c>
      <c r="K275" s="51" t="str">
        <f t="shared" ref="K275:K338" si="52">IF(A275&gt;$D$13,"",K274+1)</f>
        <v/>
      </c>
      <c r="L275" s="48"/>
    </row>
    <row r="276" spans="1:12" x14ac:dyDescent="0.25">
      <c r="A276" s="35">
        <f t="shared" si="49"/>
        <v>259</v>
      </c>
      <c r="B276" s="182">
        <f t="shared" si="50"/>
        <v>52779</v>
      </c>
      <c r="C276" s="183">
        <f t="shared" si="51"/>
        <v>-28527.01232724305</v>
      </c>
      <c r="D276" s="183">
        <f t="shared" si="43"/>
        <v>184.02690768512142</v>
      </c>
      <c r="E276" s="183">
        <f t="shared" si="44"/>
        <v>0</v>
      </c>
      <c r="F276" s="227"/>
      <c r="G276" s="183">
        <f t="shared" si="45"/>
        <v>184.02690768512142</v>
      </c>
      <c r="H276" s="183">
        <f t="shared" si="46"/>
        <v>231.57192823052651</v>
      </c>
      <c r="I276" s="183">
        <f t="shared" si="47"/>
        <v>-47.545020545405087</v>
      </c>
      <c r="J276" s="184">
        <f t="shared" si="48"/>
        <v>-28758.584255473575</v>
      </c>
      <c r="K276" s="51" t="str">
        <f t="shared" si="52"/>
        <v/>
      </c>
      <c r="L276" s="48"/>
    </row>
    <row r="277" spans="1:12" x14ac:dyDescent="0.25">
      <c r="A277" s="35">
        <f t="shared" si="49"/>
        <v>260</v>
      </c>
      <c r="B277" s="182">
        <f t="shared" si="50"/>
        <v>52810</v>
      </c>
      <c r="C277" s="183">
        <f t="shared" si="51"/>
        <v>-28758.584255473575</v>
      </c>
      <c r="D277" s="183">
        <f t="shared" si="43"/>
        <v>184.02690768512142</v>
      </c>
      <c r="E277" s="183">
        <f t="shared" si="44"/>
        <v>0</v>
      </c>
      <c r="F277" s="227"/>
      <c r="G277" s="183">
        <f t="shared" si="45"/>
        <v>184.02690768512142</v>
      </c>
      <c r="H277" s="183">
        <f t="shared" si="46"/>
        <v>231.95788144424404</v>
      </c>
      <c r="I277" s="183">
        <f t="shared" si="47"/>
        <v>-47.930973759122622</v>
      </c>
      <c r="J277" s="184">
        <f t="shared" si="48"/>
        <v>-28990.542136917818</v>
      </c>
      <c r="K277" s="51" t="str">
        <f t="shared" si="52"/>
        <v/>
      </c>
      <c r="L277" s="48"/>
    </row>
    <row r="278" spans="1:12" x14ac:dyDescent="0.25">
      <c r="A278" s="35">
        <f t="shared" si="49"/>
        <v>261</v>
      </c>
      <c r="B278" s="182">
        <f t="shared" si="50"/>
        <v>52841</v>
      </c>
      <c r="C278" s="183">
        <f t="shared" si="51"/>
        <v>-28990.542136917818</v>
      </c>
      <c r="D278" s="183">
        <f t="shared" si="43"/>
        <v>184.02690768512142</v>
      </c>
      <c r="E278" s="183">
        <f t="shared" si="44"/>
        <v>0</v>
      </c>
      <c r="F278" s="227"/>
      <c r="G278" s="183">
        <f t="shared" si="45"/>
        <v>184.02690768512142</v>
      </c>
      <c r="H278" s="183">
        <f t="shared" si="46"/>
        <v>232.34447791331777</v>
      </c>
      <c r="I278" s="183">
        <f t="shared" si="47"/>
        <v>-48.317570228196367</v>
      </c>
      <c r="J278" s="184">
        <f t="shared" si="48"/>
        <v>-29222.886614831135</v>
      </c>
      <c r="K278" s="51" t="str">
        <f t="shared" si="52"/>
        <v/>
      </c>
      <c r="L278" s="48"/>
    </row>
    <row r="279" spans="1:12" x14ac:dyDescent="0.25">
      <c r="A279" s="35">
        <f t="shared" si="49"/>
        <v>262</v>
      </c>
      <c r="B279" s="182">
        <f t="shared" si="50"/>
        <v>52871</v>
      </c>
      <c r="C279" s="183">
        <f t="shared" si="51"/>
        <v>-29222.886614831135</v>
      </c>
      <c r="D279" s="183">
        <f t="shared" si="43"/>
        <v>184.02690768512142</v>
      </c>
      <c r="E279" s="183">
        <f t="shared" si="44"/>
        <v>0</v>
      </c>
      <c r="F279" s="227"/>
      <c r="G279" s="183">
        <f t="shared" si="45"/>
        <v>184.02690768512142</v>
      </c>
      <c r="H279" s="183">
        <f t="shared" si="46"/>
        <v>232.73171870983998</v>
      </c>
      <c r="I279" s="183">
        <f t="shared" si="47"/>
        <v>-48.704811024718559</v>
      </c>
      <c r="J279" s="184">
        <f t="shared" si="48"/>
        <v>-29455.618333540977</v>
      </c>
      <c r="K279" s="51" t="str">
        <f t="shared" si="52"/>
        <v/>
      </c>
      <c r="L279" s="48"/>
    </row>
    <row r="280" spans="1:12" x14ac:dyDescent="0.25">
      <c r="A280" s="35">
        <f t="shared" si="49"/>
        <v>263</v>
      </c>
      <c r="B280" s="182">
        <f t="shared" si="50"/>
        <v>52902</v>
      </c>
      <c r="C280" s="183">
        <f t="shared" si="51"/>
        <v>-29455.618333540977</v>
      </c>
      <c r="D280" s="183">
        <f t="shared" si="43"/>
        <v>184.02690768512142</v>
      </c>
      <c r="E280" s="183">
        <f t="shared" si="44"/>
        <v>0</v>
      </c>
      <c r="F280" s="227"/>
      <c r="G280" s="183">
        <f t="shared" si="45"/>
        <v>184.02690768512142</v>
      </c>
      <c r="H280" s="183">
        <f t="shared" si="46"/>
        <v>233.11960490768971</v>
      </c>
      <c r="I280" s="183">
        <f t="shared" si="47"/>
        <v>-49.092697222568297</v>
      </c>
      <c r="J280" s="184">
        <f t="shared" si="48"/>
        <v>-29688.737938448667</v>
      </c>
      <c r="K280" s="51" t="str">
        <f t="shared" si="52"/>
        <v/>
      </c>
      <c r="L280" s="48"/>
    </row>
    <row r="281" spans="1:12" x14ac:dyDescent="0.25">
      <c r="A281" s="35">
        <f t="shared" si="49"/>
        <v>264</v>
      </c>
      <c r="B281" s="182">
        <f t="shared" si="50"/>
        <v>52932</v>
      </c>
      <c r="C281" s="183">
        <f t="shared" si="51"/>
        <v>-29688.737938448667</v>
      </c>
      <c r="D281" s="183">
        <f t="shared" si="43"/>
        <v>184.02690768512142</v>
      </c>
      <c r="E281" s="183">
        <f t="shared" si="44"/>
        <v>0</v>
      </c>
      <c r="F281" s="227"/>
      <c r="G281" s="183">
        <f t="shared" si="45"/>
        <v>184.02690768512142</v>
      </c>
      <c r="H281" s="183">
        <f t="shared" si="46"/>
        <v>233.50813758253585</v>
      </c>
      <c r="I281" s="183">
        <f t="shared" si="47"/>
        <v>-49.481229897414444</v>
      </c>
      <c r="J281" s="184">
        <f t="shared" si="48"/>
        <v>-29922.246076031202</v>
      </c>
      <c r="K281" s="51" t="str">
        <f t="shared" si="52"/>
        <v/>
      </c>
      <c r="L281" s="48"/>
    </row>
    <row r="282" spans="1:12" x14ac:dyDescent="0.25">
      <c r="A282" s="35">
        <f t="shared" si="49"/>
        <v>265</v>
      </c>
      <c r="B282" s="182">
        <f t="shared" si="50"/>
        <v>52963</v>
      </c>
      <c r="C282" s="183">
        <f t="shared" si="51"/>
        <v>-29922.246076031202</v>
      </c>
      <c r="D282" s="183">
        <f t="shared" si="43"/>
        <v>184.02690768512142</v>
      </c>
      <c r="E282" s="183">
        <f t="shared" si="44"/>
        <v>0</v>
      </c>
      <c r="F282" s="227"/>
      <c r="G282" s="183">
        <f t="shared" si="45"/>
        <v>184.02690768512142</v>
      </c>
      <c r="H282" s="183">
        <f t="shared" si="46"/>
        <v>233.89731781184008</v>
      </c>
      <c r="I282" s="183">
        <f t="shared" si="47"/>
        <v>-49.870410126718667</v>
      </c>
      <c r="J282" s="184">
        <f t="shared" si="48"/>
        <v>-30156.143393843042</v>
      </c>
      <c r="K282" s="51" t="str">
        <f t="shared" si="52"/>
        <v/>
      </c>
      <c r="L282" s="48"/>
    </row>
    <row r="283" spans="1:12" x14ac:dyDescent="0.25">
      <c r="A283" s="35">
        <f t="shared" si="49"/>
        <v>266</v>
      </c>
      <c r="B283" s="182">
        <f t="shared" si="50"/>
        <v>52994</v>
      </c>
      <c r="C283" s="183">
        <f t="shared" si="51"/>
        <v>-30156.143393843042</v>
      </c>
      <c r="D283" s="183">
        <f t="shared" si="43"/>
        <v>184.02690768512142</v>
      </c>
      <c r="E283" s="183">
        <f t="shared" si="44"/>
        <v>0</v>
      </c>
      <c r="F283" s="227"/>
      <c r="G283" s="183">
        <f t="shared" si="45"/>
        <v>184.02690768512142</v>
      </c>
      <c r="H283" s="183">
        <f t="shared" si="46"/>
        <v>234.28714667485983</v>
      </c>
      <c r="I283" s="183">
        <f t="shared" si="47"/>
        <v>-50.260238989738404</v>
      </c>
      <c r="J283" s="184">
        <f t="shared" si="48"/>
        <v>-30390.4305405179</v>
      </c>
      <c r="K283" s="51" t="str">
        <f t="shared" si="52"/>
        <v/>
      </c>
      <c r="L283" s="48"/>
    </row>
    <row r="284" spans="1:12" x14ac:dyDescent="0.25">
      <c r="A284" s="35">
        <f t="shared" si="49"/>
        <v>267</v>
      </c>
      <c r="B284" s="182">
        <f t="shared" si="50"/>
        <v>53022</v>
      </c>
      <c r="C284" s="183">
        <f t="shared" si="51"/>
        <v>-30390.4305405179</v>
      </c>
      <c r="D284" s="183">
        <f t="shared" si="43"/>
        <v>184.02690768512142</v>
      </c>
      <c r="E284" s="183">
        <f t="shared" si="44"/>
        <v>0</v>
      </c>
      <c r="F284" s="227"/>
      <c r="G284" s="183">
        <f t="shared" si="45"/>
        <v>184.02690768512142</v>
      </c>
      <c r="H284" s="183">
        <f t="shared" si="46"/>
        <v>234.67762525265124</v>
      </c>
      <c r="I284" s="183">
        <f t="shared" si="47"/>
        <v>-50.650717567529831</v>
      </c>
      <c r="J284" s="184">
        <f t="shared" si="48"/>
        <v>-30625.108165770551</v>
      </c>
      <c r="K284" s="51" t="str">
        <f t="shared" si="52"/>
        <v/>
      </c>
      <c r="L284" s="48"/>
    </row>
    <row r="285" spans="1:12" x14ac:dyDescent="0.25">
      <c r="A285" s="35">
        <f t="shared" si="49"/>
        <v>268</v>
      </c>
      <c r="B285" s="182">
        <f t="shared" si="50"/>
        <v>53053</v>
      </c>
      <c r="C285" s="183">
        <f t="shared" si="51"/>
        <v>-30625.108165770551</v>
      </c>
      <c r="D285" s="183">
        <f t="shared" si="43"/>
        <v>184.02690768512142</v>
      </c>
      <c r="E285" s="183">
        <f t="shared" si="44"/>
        <v>0</v>
      </c>
      <c r="F285" s="227"/>
      <c r="G285" s="183">
        <f t="shared" si="45"/>
        <v>184.02690768512142</v>
      </c>
      <c r="H285" s="183">
        <f t="shared" si="46"/>
        <v>235.06875462807233</v>
      </c>
      <c r="I285" s="183">
        <f t="shared" si="47"/>
        <v>-51.041846942950919</v>
      </c>
      <c r="J285" s="184">
        <f t="shared" si="48"/>
        <v>-30860.176920398622</v>
      </c>
      <c r="K285" s="51" t="str">
        <f t="shared" si="52"/>
        <v/>
      </c>
      <c r="L285" s="48"/>
    </row>
    <row r="286" spans="1:12" x14ac:dyDescent="0.25">
      <c r="A286" s="35">
        <f t="shared" si="49"/>
        <v>269</v>
      </c>
      <c r="B286" s="182">
        <f t="shared" si="50"/>
        <v>53083</v>
      </c>
      <c r="C286" s="183">
        <f t="shared" si="51"/>
        <v>-30860.176920398622</v>
      </c>
      <c r="D286" s="183">
        <f t="shared" si="43"/>
        <v>184.02690768512142</v>
      </c>
      <c r="E286" s="183">
        <f t="shared" si="44"/>
        <v>0</v>
      </c>
      <c r="F286" s="227"/>
      <c r="G286" s="183">
        <f t="shared" si="45"/>
        <v>184.02690768512142</v>
      </c>
      <c r="H286" s="183">
        <f t="shared" si="46"/>
        <v>235.46053588578579</v>
      </c>
      <c r="I286" s="183">
        <f t="shared" si="47"/>
        <v>-51.433628200664373</v>
      </c>
      <c r="J286" s="184">
        <f t="shared" si="48"/>
        <v>-31095.637456284407</v>
      </c>
      <c r="K286" s="51" t="str">
        <f t="shared" si="52"/>
        <v/>
      </c>
      <c r="L286" s="48"/>
    </row>
    <row r="287" spans="1:12" x14ac:dyDescent="0.25">
      <c r="A287" s="35">
        <f t="shared" si="49"/>
        <v>270</v>
      </c>
      <c r="B287" s="182">
        <f t="shared" si="50"/>
        <v>53114</v>
      </c>
      <c r="C287" s="183">
        <f t="shared" si="51"/>
        <v>-31095.637456284407</v>
      </c>
      <c r="D287" s="183">
        <f t="shared" si="43"/>
        <v>184.02690768512142</v>
      </c>
      <c r="E287" s="183">
        <f t="shared" si="44"/>
        <v>0</v>
      </c>
      <c r="F287" s="227"/>
      <c r="G287" s="183">
        <f t="shared" si="45"/>
        <v>184.02690768512142</v>
      </c>
      <c r="H287" s="183">
        <f t="shared" si="46"/>
        <v>235.85297011226208</v>
      </c>
      <c r="I287" s="183">
        <f t="shared" si="47"/>
        <v>-51.826062427140677</v>
      </c>
      <c r="J287" s="184">
        <f t="shared" si="48"/>
        <v>-31331.490426396667</v>
      </c>
      <c r="K287" s="51" t="str">
        <f t="shared" si="52"/>
        <v/>
      </c>
      <c r="L287" s="48"/>
    </row>
    <row r="288" spans="1:12" x14ac:dyDescent="0.25">
      <c r="A288" s="35">
        <f t="shared" si="49"/>
        <v>271</v>
      </c>
      <c r="B288" s="182">
        <f t="shared" si="50"/>
        <v>53144</v>
      </c>
      <c r="C288" s="183">
        <f t="shared" si="51"/>
        <v>-31331.490426396667</v>
      </c>
      <c r="D288" s="183">
        <f t="shared" si="43"/>
        <v>184.02690768512142</v>
      </c>
      <c r="E288" s="183">
        <f t="shared" si="44"/>
        <v>0</v>
      </c>
      <c r="F288" s="227"/>
      <c r="G288" s="183">
        <f t="shared" si="45"/>
        <v>184.02690768512142</v>
      </c>
      <c r="H288" s="183">
        <f t="shared" si="46"/>
        <v>236.24605839578254</v>
      </c>
      <c r="I288" s="183">
        <f t="shared" si="47"/>
        <v>-52.219150710661118</v>
      </c>
      <c r="J288" s="184">
        <f t="shared" si="48"/>
        <v>-31567.736484792451</v>
      </c>
      <c r="K288" s="51" t="str">
        <f t="shared" si="52"/>
        <v/>
      </c>
      <c r="L288" s="48"/>
    </row>
    <row r="289" spans="1:12" x14ac:dyDescent="0.25">
      <c r="A289" s="35">
        <f t="shared" si="49"/>
        <v>272</v>
      </c>
      <c r="B289" s="182">
        <f t="shared" si="50"/>
        <v>53175</v>
      </c>
      <c r="C289" s="183">
        <f t="shared" si="51"/>
        <v>-31567.736484792451</v>
      </c>
      <c r="D289" s="183">
        <f t="shared" si="43"/>
        <v>184.02690768512142</v>
      </c>
      <c r="E289" s="183">
        <f t="shared" si="44"/>
        <v>0</v>
      </c>
      <c r="F289" s="227"/>
      <c r="G289" s="183">
        <f t="shared" si="45"/>
        <v>184.02690768512142</v>
      </c>
      <c r="H289" s="183">
        <f t="shared" si="46"/>
        <v>236.63980182644218</v>
      </c>
      <c r="I289" s="183">
        <f t="shared" si="47"/>
        <v>-52.612894141320758</v>
      </c>
      <c r="J289" s="184">
        <f t="shared" si="48"/>
        <v>-31804.376286618892</v>
      </c>
      <c r="K289" s="51" t="str">
        <f t="shared" si="52"/>
        <v/>
      </c>
      <c r="L289" s="48"/>
    </row>
    <row r="290" spans="1:12" x14ac:dyDescent="0.25">
      <c r="A290" s="35">
        <f t="shared" si="49"/>
        <v>273</v>
      </c>
      <c r="B290" s="182">
        <f t="shared" si="50"/>
        <v>53206</v>
      </c>
      <c r="C290" s="183">
        <f t="shared" si="51"/>
        <v>-31804.376286618892</v>
      </c>
      <c r="D290" s="183">
        <f t="shared" si="43"/>
        <v>184.02690768512142</v>
      </c>
      <c r="E290" s="183">
        <f t="shared" si="44"/>
        <v>0</v>
      </c>
      <c r="F290" s="227"/>
      <c r="G290" s="183">
        <f t="shared" si="45"/>
        <v>184.02690768512142</v>
      </c>
      <c r="H290" s="183">
        <f t="shared" si="46"/>
        <v>237.03420149615289</v>
      </c>
      <c r="I290" s="183">
        <f t="shared" si="47"/>
        <v>-53.007293811031481</v>
      </c>
      <c r="J290" s="184">
        <f t="shared" si="48"/>
        <v>-32041.410488115045</v>
      </c>
      <c r="K290" s="51" t="str">
        <f t="shared" si="52"/>
        <v/>
      </c>
      <c r="L290" s="48"/>
    </row>
    <row r="291" spans="1:12" x14ac:dyDescent="0.25">
      <c r="A291" s="35">
        <f t="shared" si="49"/>
        <v>274</v>
      </c>
      <c r="B291" s="182">
        <f t="shared" si="50"/>
        <v>53236</v>
      </c>
      <c r="C291" s="183">
        <f t="shared" si="51"/>
        <v>-32041.410488115045</v>
      </c>
      <c r="D291" s="183">
        <f t="shared" si="43"/>
        <v>184.02690768512142</v>
      </c>
      <c r="E291" s="183">
        <f t="shared" si="44"/>
        <v>0</v>
      </c>
      <c r="F291" s="227"/>
      <c r="G291" s="183">
        <f t="shared" si="45"/>
        <v>184.02690768512142</v>
      </c>
      <c r="H291" s="183">
        <f t="shared" si="46"/>
        <v>237.4292584986465</v>
      </c>
      <c r="I291" s="183">
        <f t="shared" si="47"/>
        <v>-53.402350813525082</v>
      </c>
      <c r="J291" s="184">
        <f t="shared" si="48"/>
        <v>-32278.839746613692</v>
      </c>
      <c r="K291" s="51" t="str">
        <f t="shared" si="52"/>
        <v/>
      </c>
      <c r="L291" s="48"/>
    </row>
    <row r="292" spans="1:12" x14ac:dyDescent="0.25">
      <c r="A292" s="35">
        <f t="shared" si="49"/>
        <v>275</v>
      </c>
      <c r="B292" s="182">
        <f t="shared" si="50"/>
        <v>53267</v>
      </c>
      <c r="C292" s="183">
        <f t="shared" si="51"/>
        <v>-32278.839746613692</v>
      </c>
      <c r="D292" s="183">
        <f t="shared" si="43"/>
        <v>184.02690768512142</v>
      </c>
      <c r="E292" s="183">
        <f t="shared" si="44"/>
        <v>0</v>
      </c>
      <c r="F292" s="227"/>
      <c r="G292" s="183">
        <f t="shared" si="45"/>
        <v>184.02690768512142</v>
      </c>
      <c r="H292" s="183">
        <f t="shared" si="46"/>
        <v>237.82497392947758</v>
      </c>
      <c r="I292" s="183">
        <f t="shared" si="47"/>
        <v>-53.798066244356157</v>
      </c>
      <c r="J292" s="184">
        <f t="shared" si="48"/>
        <v>-32516.664720543169</v>
      </c>
      <c r="K292" s="51" t="str">
        <f t="shared" si="52"/>
        <v/>
      </c>
      <c r="L292" s="48"/>
    </row>
    <row r="293" spans="1:12" x14ac:dyDescent="0.25">
      <c r="A293" s="35">
        <f t="shared" si="49"/>
        <v>276</v>
      </c>
      <c r="B293" s="182">
        <f t="shared" si="50"/>
        <v>53297</v>
      </c>
      <c r="C293" s="183">
        <f t="shared" si="51"/>
        <v>-32516.664720543169</v>
      </c>
      <c r="D293" s="183">
        <f t="shared" si="43"/>
        <v>184.02690768512142</v>
      </c>
      <c r="E293" s="183">
        <f t="shared" si="44"/>
        <v>0</v>
      </c>
      <c r="F293" s="227"/>
      <c r="G293" s="183">
        <f t="shared" si="45"/>
        <v>184.02690768512142</v>
      </c>
      <c r="H293" s="183">
        <f t="shared" si="46"/>
        <v>238.2213488860267</v>
      </c>
      <c r="I293" s="183">
        <f t="shared" si="47"/>
        <v>-54.194441200905281</v>
      </c>
      <c r="J293" s="184">
        <f t="shared" si="48"/>
        <v>-32754.886069429194</v>
      </c>
      <c r="K293" s="51" t="str">
        <f t="shared" si="52"/>
        <v/>
      </c>
      <c r="L293" s="48"/>
    </row>
    <row r="294" spans="1:12" x14ac:dyDescent="0.25">
      <c r="A294" s="35">
        <f t="shared" si="49"/>
        <v>277</v>
      </c>
      <c r="B294" s="182">
        <f t="shared" si="50"/>
        <v>53328</v>
      </c>
      <c r="C294" s="183">
        <f t="shared" si="51"/>
        <v>-32754.886069429194</v>
      </c>
      <c r="D294" s="183">
        <f t="shared" si="43"/>
        <v>184.02690768512142</v>
      </c>
      <c r="E294" s="183">
        <f t="shared" si="44"/>
        <v>0</v>
      </c>
      <c r="F294" s="227"/>
      <c r="G294" s="183">
        <f t="shared" si="45"/>
        <v>184.02690768512142</v>
      </c>
      <c r="H294" s="183">
        <f t="shared" si="46"/>
        <v>238.6183844675034</v>
      </c>
      <c r="I294" s="183">
        <f t="shared" si="47"/>
        <v>-54.591476782381989</v>
      </c>
      <c r="J294" s="184">
        <f t="shared" si="48"/>
        <v>-32993.504453896698</v>
      </c>
      <c r="K294" s="51" t="str">
        <f t="shared" si="52"/>
        <v/>
      </c>
      <c r="L294" s="48"/>
    </row>
    <row r="295" spans="1:12" x14ac:dyDescent="0.25">
      <c r="A295" s="35">
        <f t="shared" si="49"/>
        <v>278</v>
      </c>
      <c r="B295" s="182">
        <f t="shared" si="50"/>
        <v>53359</v>
      </c>
      <c r="C295" s="183">
        <f t="shared" si="51"/>
        <v>-32993.504453896698</v>
      </c>
      <c r="D295" s="183">
        <f t="shared" si="43"/>
        <v>184.02690768512142</v>
      </c>
      <c r="E295" s="183">
        <f t="shared" si="44"/>
        <v>0</v>
      </c>
      <c r="F295" s="227"/>
      <c r="G295" s="183">
        <f t="shared" si="45"/>
        <v>184.02690768512142</v>
      </c>
      <c r="H295" s="183">
        <f t="shared" si="46"/>
        <v>239.01608177494924</v>
      </c>
      <c r="I295" s="183">
        <f t="shared" si="47"/>
        <v>-54.989174089827827</v>
      </c>
      <c r="J295" s="184">
        <f t="shared" si="48"/>
        <v>-33232.520535671647</v>
      </c>
      <c r="K295" s="51" t="str">
        <f t="shared" si="52"/>
        <v/>
      </c>
      <c r="L295" s="48"/>
    </row>
    <row r="296" spans="1:12" x14ac:dyDescent="0.25">
      <c r="A296" s="35">
        <f t="shared" si="49"/>
        <v>279</v>
      </c>
      <c r="B296" s="182">
        <f t="shared" si="50"/>
        <v>53387</v>
      </c>
      <c r="C296" s="183">
        <f t="shared" si="51"/>
        <v>-33232.520535671647</v>
      </c>
      <c r="D296" s="183">
        <f t="shared" si="43"/>
        <v>184.02690768512142</v>
      </c>
      <c r="E296" s="183">
        <f t="shared" si="44"/>
        <v>0</v>
      </c>
      <c r="F296" s="227"/>
      <c r="G296" s="183">
        <f t="shared" si="45"/>
        <v>184.02690768512142</v>
      </c>
      <c r="H296" s="183">
        <f t="shared" si="46"/>
        <v>239.41444191124083</v>
      </c>
      <c r="I296" s="183">
        <f t="shared" si="47"/>
        <v>-55.387534226119413</v>
      </c>
      <c r="J296" s="184">
        <f t="shared" si="48"/>
        <v>-33471.934977582889</v>
      </c>
      <c r="K296" s="51" t="str">
        <f t="shared" si="52"/>
        <v/>
      </c>
      <c r="L296" s="48"/>
    </row>
    <row r="297" spans="1:12" x14ac:dyDescent="0.25">
      <c r="A297" s="35">
        <f t="shared" si="49"/>
        <v>280</v>
      </c>
      <c r="B297" s="182">
        <f t="shared" si="50"/>
        <v>53418</v>
      </c>
      <c r="C297" s="183">
        <f t="shared" si="51"/>
        <v>-33471.934977582889</v>
      </c>
      <c r="D297" s="183">
        <f t="shared" si="43"/>
        <v>184.02690768512142</v>
      </c>
      <c r="E297" s="183">
        <f t="shared" si="44"/>
        <v>0</v>
      </c>
      <c r="F297" s="227"/>
      <c r="G297" s="183">
        <f t="shared" si="45"/>
        <v>184.02690768512142</v>
      </c>
      <c r="H297" s="183">
        <f t="shared" si="46"/>
        <v>239.81346598109289</v>
      </c>
      <c r="I297" s="183">
        <f t="shared" si="47"/>
        <v>-55.786558295971481</v>
      </c>
      <c r="J297" s="184">
        <f t="shared" si="48"/>
        <v>-33711.748443563978</v>
      </c>
      <c r="K297" s="51" t="str">
        <f t="shared" si="52"/>
        <v/>
      </c>
      <c r="L297" s="48"/>
    </row>
    <row r="298" spans="1:12" x14ac:dyDescent="0.25">
      <c r="A298" s="35">
        <f t="shared" si="49"/>
        <v>281</v>
      </c>
      <c r="B298" s="182">
        <f t="shared" si="50"/>
        <v>53448</v>
      </c>
      <c r="C298" s="183">
        <f t="shared" si="51"/>
        <v>-33711.748443563978</v>
      </c>
      <c r="D298" s="183">
        <f t="shared" si="43"/>
        <v>184.02690768512142</v>
      </c>
      <c r="E298" s="183">
        <f t="shared" si="44"/>
        <v>0</v>
      </c>
      <c r="F298" s="227"/>
      <c r="G298" s="183">
        <f t="shared" si="45"/>
        <v>184.02690768512142</v>
      </c>
      <c r="H298" s="183">
        <f t="shared" si="46"/>
        <v>240.21315509106137</v>
      </c>
      <c r="I298" s="183">
        <f t="shared" si="47"/>
        <v>-56.186247405939959</v>
      </c>
      <c r="J298" s="184">
        <f t="shared" si="48"/>
        <v>-33951.961598655042</v>
      </c>
      <c r="K298" s="51" t="str">
        <f t="shared" si="52"/>
        <v/>
      </c>
      <c r="L298" s="48"/>
    </row>
    <row r="299" spans="1:12" x14ac:dyDescent="0.25">
      <c r="A299" s="35">
        <f t="shared" si="49"/>
        <v>282</v>
      </c>
      <c r="B299" s="182">
        <f t="shared" si="50"/>
        <v>53479</v>
      </c>
      <c r="C299" s="183">
        <f t="shared" si="51"/>
        <v>-33951.961598655042</v>
      </c>
      <c r="D299" s="183">
        <f t="shared" si="43"/>
        <v>184.02690768512142</v>
      </c>
      <c r="E299" s="183">
        <f t="shared" si="44"/>
        <v>0</v>
      </c>
      <c r="F299" s="227"/>
      <c r="G299" s="183">
        <f t="shared" si="45"/>
        <v>184.02690768512142</v>
      </c>
      <c r="H299" s="183">
        <f t="shared" si="46"/>
        <v>240.61351034954649</v>
      </c>
      <c r="I299" s="183">
        <f t="shared" si="47"/>
        <v>-56.586602664425072</v>
      </c>
      <c r="J299" s="184">
        <f t="shared" si="48"/>
        <v>-34192.575109004589</v>
      </c>
      <c r="K299" s="51" t="str">
        <f t="shared" si="52"/>
        <v/>
      </c>
      <c r="L299" s="48"/>
    </row>
    <row r="300" spans="1:12" x14ac:dyDescent="0.25">
      <c r="A300" s="35">
        <f t="shared" si="49"/>
        <v>283</v>
      </c>
      <c r="B300" s="182">
        <f t="shared" si="50"/>
        <v>53509</v>
      </c>
      <c r="C300" s="183">
        <f t="shared" si="51"/>
        <v>-34192.575109004589</v>
      </c>
      <c r="D300" s="183">
        <f t="shared" si="43"/>
        <v>184.02690768512142</v>
      </c>
      <c r="E300" s="183">
        <f t="shared" si="44"/>
        <v>0</v>
      </c>
      <c r="F300" s="227"/>
      <c r="G300" s="183">
        <f t="shared" si="45"/>
        <v>184.02690768512142</v>
      </c>
      <c r="H300" s="183">
        <f t="shared" si="46"/>
        <v>241.01453286679572</v>
      </c>
      <c r="I300" s="183">
        <f t="shared" si="47"/>
        <v>-56.987625181674311</v>
      </c>
      <c r="J300" s="184">
        <f t="shared" si="48"/>
        <v>-34433.589641871382</v>
      </c>
      <c r="K300" s="51" t="str">
        <f t="shared" si="52"/>
        <v/>
      </c>
      <c r="L300" s="48"/>
    </row>
    <row r="301" spans="1:12" x14ac:dyDescent="0.25">
      <c r="A301" s="35">
        <f t="shared" si="49"/>
        <v>284</v>
      </c>
      <c r="B301" s="182">
        <f t="shared" si="50"/>
        <v>53540</v>
      </c>
      <c r="C301" s="183">
        <f t="shared" si="51"/>
        <v>-34433.589641871382</v>
      </c>
      <c r="D301" s="183">
        <f t="shared" si="43"/>
        <v>184.02690768512142</v>
      </c>
      <c r="E301" s="183">
        <f t="shared" si="44"/>
        <v>0</v>
      </c>
      <c r="F301" s="227"/>
      <c r="G301" s="183">
        <f t="shared" si="45"/>
        <v>184.02690768512142</v>
      </c>
      <c r="H301" s="183">
        <f t="shared" si="46"/>
        <v>241.41622375490707</v>
      </c>
      <c r="I301" s="183">
        <f t="shared" si="47"/>
        <v>-57.389316069785643</v>
      </c>
      <c r="J301" s="184">
        <f t="shared" si="48"/>
        <v>-34675.005865626292</v>
      </c>
      <c r="K301" s="51" t="str">
        <f t="shared" si="52"/>
        <v/>
      </c>
      <c r="L301" s="48"/>
    </row>
    <row r="302" spans="1:12" x14ac:dyDescent="0.25">
      <c r="A302" s="35">
        <f t="shared" si="49"/>
        <v>285</v>
      </c>
      <c r="B302" s="182">
        <f t="shared" si="50"/>
        <v>53571</v>
      </c>
      <c r="C302" s="183">
        <f t="shared" si="51"/>
        <v>-34675.005865626292</v>
      </c>
      <c r="D302" s="183">
        <f t="shared" si="43"/>
        <v>184.02690768512142</v>
      </c>
      <c r="E302" s="183">
        <f t="shared" si="44"/>
        <v>0</v>
      </c>
      <c r="F302" s="227"/>
      <c r="G302" s="183">
        <f t="shared" si="45"/>
        <v>184.02690768512142</v>
      </c>
      <c r="H302" s="183">
        <f t="shared" si="46"/>
        <v>241.81858412783191</v>
      </c>
      <c r="I302" s="183">
        <f t="shared" si="47"/>
        <v>-57.791676442710489</v>
      </c>
      <c r="J302" s="184">
        <f t="shared" si="48"/>
        <v>-34916.824449754124</v>
      </c>
      <c r="K302" s="51" t="str">
        <f t="shared" si="52"/>
        <v/>
      </c>
      <c r="L302" s="48"/>
    </row>
    <row r="303" spans="1:12" x14ac:dyDescent="0.25">
      <c r="A303" s="35">
        <f t="shared" si="49"/>
        <v>286</v>
      </c>
      <c r="B303" s="182">
        <f t="shared" si="50"/>
        <v>53601</v>
      </c>
      <c r="C303" s="183">
        <f t="shared" si="51"/>
        <v>-34916.824449754124</v>
      </c>
      <c r="D303" s="183">
        <f t="shared" si="43"/>
        <v>184.02690768512142</v>
      </c>
      <c r="E303" s="183">
        <f t="shared" si="44"/>
        <v>0</v>
      </c>
      <c r="F303" s="227"/>
      <c r="G303" s="183">
        <f t="shared" si="45"/>
        <v>184.02690768512142</v>
      </c>
      <c r="H303" s="183">
        <f t="shared" si="46"/>
        <v>242.22161510137829</v>
      </c>
      <c r="I303" s="183">
        <f t="shared" si="47"/>
        <v>-58.194707416256875</v>
      </c>
      <c r="J303" s="184">
        <f t="shared" si="48"/>
        <v>-35159.046064855502</v>
      </c>
      <c r="K303" s="51" t="str">
        <f t="shared" si="52"/>
        <v/>
      </c>
      <c r="L303" s="48"/>
    </row>
    <row r="304" spans="1:12" x14ac:dyDescent="0.25">
      <c r="A304" s="35">
        <f t="shared" si="49"/>
        <v>287</v>
      </c>
      <c r="B304" s="182">
        <f t="shared" si="50"/>
        <v>53632</v>
      </c>
      <c r="C304" s="183">
        <f t="shared" si="51"/>
        <v>-35159.046064855502</v>
      </c>
      <c r="D304" s="183">
        <f t="shared" si="43"/>
        <v>184.02690768512142</v>
      </c>
      <c r="E304" s="183">
        <f t="shared" si="44"/>
        <v>0</v>
      </c>
      <c r="F304" s="227"/>
      <c r="G304" s="183">
        <f t="shared" si="45"/>
        <v>184.02690768512142</v>
      </c>
      <c r="H304" s="183">
        <f t="shared" si="46"/>
        <v>242.62531779321392</v>
      </c>
      <c r="I304" s="183">
        <f t="shared" si="47"/>
        <v>-58.598410108092509</v>
      </c>
      <c r="J304" s="184">
        <f t="shared" si="48"/>
        <v>-35401.671382648718</v>
      </c>
      <c r="K304" s="51" t="str">
        <f t="shared" si="52"/>
        <v/>
      </c>
      <c r="L304" s="48"/>
    </row>
    <row r="305" spans="1:12" x14ac:dyDescent="0.25">
      <c r="A305" s="35">
        <f t="shared" si="49"/>
        <v>288</v>
      </c>
      <c r="B305" s="182">
        <f t="shared" si="50"/>
        <v>53662</v>
      </c>
      <c r="C305" s="183">
        <f t="shared" si="51"/>
        <v>-35401.671382648718</v>
      </c>
      <c r="D305" s="183">
        <f t="shared" si="43"/>
        <v>184.02690768512142</v>
      </c>
      <c r="E305" s="183">
        <f t="shared" si="44"/>
        <v>0</v>
      </c>
      <c r="F305" s="227"/>
      <c r="G305" s="183">
        <f t="shared" si="45"/>
        <v>184.02690768512142</v>
      </c>
      <c r="H305" s="183">
        <f t="shared" si="46"/>
        <v>243.02969332286929</v>
      </c>
      <c r="I305" s="183">
        <f t="shared" si="47"/>
        <v>-59.00278563774787</v>
      </c>
      <c r="J305" s="184">
        <f t="shared" si="48"/>
        <v>-35644.701075971585</v>
      </c>
      <c r="K305" s="51" t="str">
        <f t="shared" si="52"/>
        <v/>
      </c>
      <c r="L305" s="48"/>
    </row>
    <row r="306" spans="1:12" x14ac:dyDescent="0.25">
      <c r="A306" s="35">
        <f t="shared" si="49"/>
        <v>289</v>
      </c>
      <c r="B306" s="182">
        <f t="shared" si="50"/>
        <v>53693</v>
      </c>
      <c r="C306" s="183">
        <f t="shared" si="51"/>
        <v>-35644.701075971585</v>
      </c>
      <c r="D306" s="183">
        <f t="shared" si="43"/>
        <v>184.02690768512142</v>
      </c>
      <c r="E306" s="183">
        <f t="shared" si="44"/>
        <v>0</v>
      </c>
      <c r="F306" s="227"/>
      <c r="G306" s="183">
        <f t="shared" si="45"/>
        <v>184.02690768512142</v>
      </c>
      <c r="H306" s="183">
        <f t="shared" si="46"/>
        <v>243.43474281174073</v>
      </c>
      <c r="I306" s="183">
        <f t="shared" si="47"/>
        <v>-59.407835126619311</v>
      </c>
      <c r="J306" s="184">
        <f t="shared" si="48"/>
        <v>-35888.135818783325</v>
      </c>
      <c r="K306" s="51" t="str">
        <f t="shared" si="52"/>
        <v/>
      </c>
      <c r="L306" s="48"/>
    </row>
    <row r="307" spans="1:12" x14ac:dyDescent="0.25">
      <c r="A307" s="35">
        <f t="shared" si="49"/>
        <v>290</v>
      </c>
      <c r="B307" s="182">
        <f t="shared" si="50"/>
        <v>53724</v>
      </c>
      <c r="C307" s="183">
        <f t="shared" si="51"/>
        <v>-35888.135818783325</v>
      </c>
      <c r="D307" s="183">
        <f t="shared" si="43"/>
        <v>184.02690768512142</v>
      </c>
      <c r="E307" s="183">
        <f t="shared" si="44"/>
        <v>0</v>
      </c>
      <c r="F307" s="227"/>
      <c r="G307" s="183">
        <f t="shared" si="45"/>
        <v>184.02690768512142</v>
      </c>
      <c r="H307" s="183">
        <f t="shared" si="46"/>
        <v>243.84046738309362</v>
      </c>
      <c r="I307" s="183">
        <f t="shared" si="47"/>
        <v>-59.81355969797221</v>
      </c>
      <c r="J307" s="184">
        <f t="shared" si="48"/>
        <v>-36131.97628616642</v>
      </c>
      <c r="K307" s="51" t="str">
        <f t="shared" si="52"/>
        <v/>
      </c>
      <c r="L307" s="48"/>
    </row>
    <row r="308" spans="1:12" x14ac:dyDescent="0.25">
      <c r="A308" s="35">
        <f t="shared" si="49"/>
        <v>291</v>
      </c>
      <c r="B308" s="182">
        <f t="shared" si="50"/>
        <v>53752</v>
      </c>
      <c r="C308" s="183">
        <f t="shared" si="51"/>
        <v>-36131.97628616642</v>
      </c>
      <c r="D308" s="183">
        <f t="shared" si="43"/>
        <v>184.02690768512142</v>
      </c>
      <c r="E308" s="183">
        <f t="shared" si="44"/>
        <v>0</v>
      </c>
      <c r="F308" s="227"/>
      <c r="G308" s="183">
        <f t="shared" si="45"/>
        <v>184.02690768512142</v>
      </c>
      <c r="H308" s="183">
        <f t="shared" si="46"/>
        <v>244.24686816206545</v>
      </c>
      <c r="I308" s="183">
        <f t="shared" si="47"/>
        <v>-60.219960476944038</v>
      </c>
      <c r="J308" s="184">
        <f t="shared" si="48"/>
        <v>-36376.223154328487</v>
      </c>
      <c r="K308" s="51" t="str">
        <f t="shared" si="52"/>
        <v/>
      </c>
      <c r="L308" s="48"/>
    </row>
    <row r="309" spans="1:12" x14ac:dyDescent="0.25">
      <c r="A309" s="35">
        <f t="shared" si="49"/>
        <v>292</v>
      </c>
      <c r="B309" s="182">
        <f t="shared" si="50"/>
        <v>53783</v>
      </c>
      <c r="C309" s="183">
        <f t="shared" si="51"/>
        <v>-36376.223154328487</v>
      </c>
      <c r="D309" s="183">
        <f t="shared" si="43"/>
        <v>184.02690768512142</v>
      </c>
      <c r="E309" s="183">
        <f t="shared" si="44"/>
        <v>0</v>
      </c>
      <c r="F309" s="227"/>
      <c r="G309" s="183">
        <f t="shared" si="45"/>
        <v>184.02690768512142</v>
      </c>
      <c r="H309" s="183">
        <f t="shared" si="46"/>
        <v>244.65394627566889</v>
      </c>
      <c r="I309" s="183">
        <f t="shared" si="47"/>
        <v>-60.627038590547478</v>
      </c>
      <c r="J309" s="184">
        <f t="shared" si="48"/>
        <v>-36620.877100604157</v>
      </c>
      <c r="K309" s="51" t="str">
        <f t="shared" si="52"/>
        <v/>
      </c>
      <c r="L309" s="48"/>
    </row>
    <row r="310" spans="1:12" x14ac:dyDescent="0.25">
      <c r="A310" s="35">
        <f t="shared" si="49"/>
        <v>293</v>
      </c>
      <c r="B310" s="182">
        <f t="shared" si="50"/>
        <v>53813</v>
      </c>
      <c r="C310" s="183">
        <f t="shared" si="51"/>
        <v>-36620.877100604157</v>
      </c>
      <c r="D310" s="183">
        <f t="shared" si="43"/>
        <v>184.02690768512142</v>
      </c>
      <c r="E310" s="183">
        <f t="shared" si="44"/>
        <v>0</v>
      </c>
      <c r="F310" s="227"/>
      <c r="G310" s="183">
        <f t="shared" si="45"/>
        <v>184.02690768512142</v>
      </c>
      <c r="H310" s="183">
        <f t="shared" si="46"/>
        <v>245.06170285279501</v>
      </c>
      <c r="I310" s="183">
        <f t="shared" si="47"/>
        <v>-61.034795167673593</v>
      </c>
      <c r="J310" s="184">
        <f t="shared" si="48"/>
        <v>-36865.938803456949</v>
      </c>
      <c r="K310" s="51" t="str">
        <f t="shared" si="52"/>
        <v/>
      </c>
      <c r="L310" s="48"/>
    </row>
    <row r="311" spans="1:12" x14ac:dyDescent="0.25">
      <c r="A311" s="35">
        <f t="shared" si="49"/>
        <v>294</v>
      </c>
      <c r="B311" s="182">
        <f t="shared" si="50"/>
        <v>53844</v>
      </c>
      <c r="C311" s="183">
        <f t="shared" si="51"/>
        <v>-36865.938803456949</v>
      </c>
      <c r="D311" s="183">
        <f t="shared" si="43"/>
        <v>184.02690768512142</v>
      </c>
      <c r="E311" s="183">
        <f t="shared" si="44"/>
        <v>0</v>
      </c>
      <c r="F311" s="227"/>
      <c r="G311" s="183">
        <f t="shared" si="45"/>
        <v>184.02690768512142</v>
      </c>
      <c r="H311" s="183">
        <f t="shared" si="46"/>
        <v>245.47013902421634</v>
      </c>
      <c r="I311" s="183">
        <f t="shared" si="47"/>
        <v>-61.443231339094915</v>
      </c>
      <c r="J311" s="184">
        <f t="shared" si="48"/>
        <v>-37111.408942481168</v>
      </c>
      <c r="K311" s="51" t="str">
        <f t="shared" si="52"/>
        <v/>
      </c>
      <c r="L311" s="48"/>
    </row>
    <row r="312" spans="1:12" x14ac:dyDescent="0.25">
      <c r="A312" s="35">
        <f t="shared" si="49"/>
        <v>295</v>
      </c>
      <c r="B312" s="182">
        <f t="shared" si="50"/>
        <v>53874</v>
      </c>
      <c r="C312" s="183">
        <f t="shared" si="51"/>
        <v>-37111.408942481168</v>
      </c>
      <c r="D312" s="183">
        <f t="shared" si="43"/>
        <v>184.02690768512142</v>
      </c>
      <c r="E312" s="183">
        <f t="shared" si="44"/>
        <v>0</v>
      </c>
      <c r="F312" s="227"/>
      <c r="G312" s="183">
        <f t="shared" si="45"/>
        <v>184.02690768512142</v>
      </c>
      <c r="H312" s="183">
        <f t="shared" si="46"/>
        <v>245.87925592259003</v>
      </c>
      <c r="I312" s="183">
        <f t="shared" si="47"/>
        <v>-61.852348237468618</v>
      </c>
      <c r="J312" s="184">
        <f t="shared" si="48"/>
        <v>-37357.288198403759</v>
      </c>
      <c r="K312" s="51" t="str">
        <f t="shared" si="52"/>
        <v/>
      </c>
      <c r="L312" s="48"/>
    </row>
    <row r="313" spans="1:12" x14ac:dyDescent="0.25">
      <c r="A313" s="35">
        <f t="shared" si="49"/>
        <v>296</v>
      </c>
      <c r="B313" s="182">
        <f t="shared" si="50"/>
        <v>53905</v>
      </c>
      <c r="C313" s="183">
        <f t="shared" si="51"/>
        <v>-37357.288198403759</v>
      </c>
      <c r="D313" s="183">
        <f t="shared" si="43"/>
        <v>184.02690768512142</v>
      </c>
      <c r="E313" s="183">
        <f t="shared" si="44"/>
        <v>0</v>
      </c>
      <c r="F313" s="227"/>
      <c r="G313" s="183">
        <f t="shared" si="45"/>
        <v>184.02690768512142</v>
      </c>
      <c r="H313" s="183">
        <f t="shared" si="46"/>
        <v>246.28905468246103</v>
      </c>
      <c r="I313" s="183">
        <f t="shared" si="47"/>
        <v>-62.262146997339606</v>
      </c>
      <c r="J313" s="184">
        <f t="shared" si="48"/>
        <v>-37603.577253086223</v>
      </c>
      <c r="K313" s="51" t="str">
        <f t="shared" si="52"/>
        <v/>
      </c>
      <c r="L313" s="48"/>
    </row>
    <row r="314" spans="1:12" x14ac:dyDescent="0.25">
      <c r="A314" s="35">
        <f t="shared" si="49"/>
        <v>297</v>
      </c>
      <c r="B314" s="182">
        <f t="shared" si="50"/>
        <v>53936</v>
      </c>
      <c r="C314" s="183">
        <f t="shared" si="51"/>
        <v>-37603.577253086223</v>
      </c>
      <c r="D314" s="183">
        <f t="shared" si="43"/>
        <v>184.02690768512142</v>
      </c>
      <c r="E314" s="183">
        <f t="shared" si="44"/>
        <v>0</v>
      </c>
      <c r="F314" s="227"/>
      <c r="G314" s="183">
        <f t="shared" si="45"/>
        <v>184.02690768512142</v>
      </c>
      <c r="H314" s="183">
        <f t="shared" si="46"/>
        <v>246.69953644026512</v>
      </c>
      <c r="I314" s="183">
        <f t="shared" si="47"/>
        <v>-62.672628755143705</v>
      </c>
      <c r="J314" s="184">
        <f t="shared" si="48"/>
        <v>-37850.276789526491</v>
      </c>
      <c r="K314" s="51" t="str">
        <f t="shared" si="52"/>
        <v/>
      </c>
      <c r="L314" s="48"/>
    </row>
    <row r="315" spans="1:12" x14ac:dyDescent="0.25">
      <c r="A315" s="35">
        <f t="shared" si="49"/>
        <v>298</v>
      </c>
      <c r="B315" s="182">
        <f t="shared" si="50"/>
        <v>53966</v>
      </c>
      <c r="C315" s="183">
        <f t="shared" si="51"/>
        <v>-37850.276789526491</v>
      </c>
      <c r="D315" s="183">
        <f t="shared" si="43"/>
        <v>184.02690768512142</v>
      </c>
      <c r="E315" s="183">
        <f t="shared" si="44"/>
        <v>0</v>
      </c>
      <c r="F315" s="227"/>
      <c r="G315" s="183">
        <f t="shared" si="45"/>
        <v>184.02690768512142</v>
      </c>
      <c r="H315" s="183">
        <f t="shared" si="46"/>
        <v>247.11070233433225</v>
      </c>
      <c r="I315" s="183">
        <f t="shared" si="47"/>
        <v>-63.083794649210823</v>
      </c>
      <c r="J315" s="184">
        <f t="shared" si="48"/>
        <v>-38097.387491860827</v>
      </c>
      <c r="K315" s="51" t="str">
        <f t="shared" si="52"/>
        <v/>
      </c>
      <c r="L315" s="48"/>
    </row>
    <row r="316" spans="1:12" x14ac:dyDescent="0.25">
      <c r="A316" s="35">
        <f t="shared" si="49"/>
        <v>299</v>
      </c>
      <c r="B316" s="182">
        <f t="shared" si="50"/>
        <v>53997</v>
      </c>
      <c r="C316" s="183">
        <f t="shared" si="51"/>
        <v>-38097.387491860827</v>
      </c>
      <c r="D316" s="183">
        <f t="shared" si="43"/>
        <v>184.02690768512142</v>
      </c>
      <c r="E316" s="183">
        <f t="shared" si="44"/>
        <v>0</v>
      </c>
      <c r="F316" s="227"/>
      <c r="G316" s="183">
        <f t="shared" si="45"/>
        <v>184.02690768512142</v>
      </c>
      <c r="H316" s="183">
        <f t="shared" si="46"/>
        <v>247.52255350488946</v>
      </c>
      <c r="I316" s="183">
        <f t="shared" si="47"/>
        <v>-63.495645819768043</v>
      </c>
      <c r="J316" s="184">
        <f t="shared" si="48"/>
        <v>-38344.910045365716</v>
      </c>
      <c r="K316" s="51" t="str">
        <f t="shared" si="52"/>
        <v/>
      </c>
      <c r="L316" s="48"/>
    </row>
    <row r="317" spans="1:12" x14ac:dyDescent="0.25">
      <c r="A317" s="35">
        <f t="shared" si="49"/>
        <v>300</v>
      </c>
      <c r="B317" s="182">
        <f t="shared" si="50"/>
        <v>54027</v>
      </c>
      <c r="C317" s="183">
        <f t="shared" si="51"/>
        <v>-38344.910045365716</v>
      </c>
      <c r="D317" s="183">
        <f t="shared" si="43"/>
        <v>184.02690768512142</v>
      </c>
      <c r="E317" s="183">
        <f t="shared" si="44"/>
        <v>0</v>
      </c>
      <c r="F317" s="227"/>
      <c r="G317" s="183">
        <f t="shared" si="45"/>
        <v>184.02690768512142</v>
      </c>
      <c r="H317" s="183">
        <f t="shared" si="46"/>
        <v>247.93509109406426</v>
      </c>
      <c r="I317" s="183">
        <f t="shared" si="47"/>
        <v>-63.908183408942854</v>
      </c>
      <c r="J317" s="184">
        <f t="shared" si="48"/>
        <v>-38592.845136459779</v>
      </c>
      <c r="K317" s="51" t="str">
        <f t="shared" si="52"/>
        <v/>
      </c>
      <c r="L317" s="48"/>
    </row>
    <row r="318" spans="1:12" x14ac:dyDescent="0.25">
      <c r="A318" s="35">
        <f t="shared" si="49"/>
        <v>301</v>
      </c>
      <c r="B318" s="182">
        <f t="shared" si="50"/>
        <v>54058</v>
      </c>
      <c r="C318" s="183">
        <f t="shared" si="51"/>
        <v>-38592.845136459779</v>
      </c>
      <c r="D318" s="183">
        <f t="shared" si="43"/>
        <v>184.02690768512142</v>
      </c>
      <c r="E318" s="183">
        <f t="shared" si="44"/>
        <v>0</v>
      </c>
      <c r="F318" s="227"/>
      <c r="G318" s="183">
        <f t="shared" si="45"/>
        <v>184.02690768512142</v>
      </c>
      <c r="H318" s="183">
        <f t="shared" si="46"/>
        <v>248.3483162458877</v>
      </c>
      <c r="I318" s="183">
        <f t="shared" si="47"/>
        <v>-64.321408560766301</v>
      </c>
      <c r="J318" s="184">
        <f t="shared" si="48"/>
        <v>-38841.193452705666</v>
      </c>
      <c r="K318" s="51" t="str">
        <f t="shared" si="52"/>
        <v/>
      </c>
      <c r="L318" s="48"/>
    </row>
    <row r="319" spans="1:12" x14ac:dyDescent="0.25">
      <c r="A319" s="35">
        <f t="shared" si="49"/>
        <v>302</v>
      </c>
      <c r="B319" s="182">
        <f t="shared" si="50"/>
        <v>54089</v>
      </c>
      <c r="C319" s="183">
        <f t="shared" si="51"/>
        <v>-38841.193452705666</v>
      </c>
      <c r="D319" s="183">
        <f t="shared" si="43"/>
        <v>184.02690768512142</v>
      </c>
      <c r="E319" s="183">
        <f t="shared" si="44"/>
        <v>0</v>
      </c>
      <c r="F319" s="227"/>
      <c r="G319" s="183">
        <f t="shared" si="45"/>
        <v>184.02690768512142</v>
      </c>
      <c r="H319" s="183">
        <f t="shared" si="46"/>
        <v>248.76223010629752</v>
      </c>
      <c r="I319" s="183">
        <f t="shared" si="47"/>
        <v>-64.735322421176107</v>
      </c>
      <c r="J319" s="184">
        <f t="shared" si="48"/>
        <v>-39089.95568281196</v>
      </c>
      <c r="K319" s="51" t="str">
        <f t="shared" si="52"/>
        <v/>
      </c>
      <c r="L319" s="48"/>
    </row>
    <row r="320" spans="1:12" x14ac:dyDescent="0.25">
      <c r="A320" s="35">
        <f t="shared" si="49"/>
        <v>303</v>
      </c>
      <c r="B320" s="182">
        <f t="shared" si="50"/>
        <v>54118</v>
      </c>
      <c r="C320" s="183">
        <f t="shared" si="51"/>
        <v>-39089.95568281196</v>
      </c>
      <c r="D320" s="183">
        <f t="shared" si="43"/>
        <v>184.02690768512142</v>
      </c>
      <c r="E320" s="183">
        <f t="shared" si="44"/>
        <v>0</v>
      </c>
      <c r="F320" s="227"/>
      <c r="G320" s="183">
        <f t="shared" si="45"/>
        <v>184.02690768512142</v>
      </c>
      <c r="H320" s="183">
        <f t="shared" si="46"/>
        <v>249.17683382314135</v>
      </c>
      <c r="I320" s="183">
        <f t="shared" si="47"/>
        <v>-65.149926138019936</v>
      </c>
      <c r="J320" s="184">
        <f t="shared" si="48"/>
        <v>-39339.132516635102</v>
      </c>
      <c r="K320" s="51" t="str">
        <f t="shared" si="52"/>
        <v/>
      </c>
      <c r="L320" s="48"/>
    </row>
    <row r="321" spans="1:12" x14ac:dyDescent="0.25">
      <c r="A321" s="35">
        <f t="shared" si="49"/>
        <v>304</v>
      </c>
      <c r="B321" s="182">
        <f t="shared" si="50"/>
        <v>54149</v>
      </c>
      <c r="C321" s="183">
        <f t="shared" si="51"/>
        <v>-39339.132516635102</v>
      </c>
      <c r="D321" s="183">
        <f t="shared" si="43"/>
        <v>184.02690768512142</v>
      </c>
      <c r="E321" s="183">
        <f t="shared" si="44"/>
        <v>0</v>
      </c>
      <c r="F321" s="227"/>
      <c r="G321" s="183">
        <f t="shared" si="45"/>
        <v>184.02690768512142</v>
      </c>
      <c r="H321" s="183">
        <f t="shared" si="46"/>
        <v>249.59212854617994</v>
      </c>
      <c r="I321" s="183">
        <f t="shared" si="47"/>
        <v>-65.565220861058506</v>
      </c>
      <c r="J321" s="184">
        <f t="shared" si="48"/>
        <v>-39588.724645181283</v>
      </c>
      <c r="K321" s="51" t="str">
        <f t="shared" si="52"/>
        <v/>
      </c>
      <c r="L321" s="48"/>
    </row>
    <row r="322" spans="1:12" x14ac:dyDescent="0.25">
      <c r="A322" s="35">
        <f t="shared" si="49"/>
        <v>305</v>
      </c>
      <c r="B322" s="182">
        <f t="shared" si="50"/>
        <v>54179</v>
      </c>
      <c r="C322" s="183">
        <f t="shared" si="51"/>
        <v>-39588.724645181283</v>
      </c>
      <c r="D322" s="183">
        <f t="shared" si="43"/>
        <v>184.02690768512142</v>
      </c>
      <c r="E322" s="183">
        <f t="shared" si="44"/>
        <v>0</v>
      </c>
      <c r="F322" s="227"/>
      <c r="G322" s="183">
        <f t="shared" si="45"/>
        <v>184.02690768512142</v>
      </c>
      <c r="H322" s="183">
        <f t="shared" si="46"/>
        <v>250.00811542709022</v>
      </c>
      <c r="I322" s="183">
        <f t="shared" si="47"/>
        <v>-65.981207741968802</v>
      </c>
      <c r="J322" s="184">
        <f t="shared" si="48"/>
        <v>-39838.732760608371</v>
      </c>
      <c r="K322" s="51" t="str">
        <f t="shared" si="52"/>
        <v/>
      </c>
      <c r="L322" s="48"/>
    </row>
    <row r="323" spans="1:12" x14ac:dyDescent="0.25">
      <c r="A323" s="35">
        <f t="shared" si="49"/>
        <v>306</v>
      </c>
      <c r="B323" s="182">
        <f t="shared" si="50"/>
        <v>54210</v>
      </c>
      <c r="C323" s="183">
        <f t="shared" si="51"/>
        <v>-39838.732760608371</v>
      </c>
      <c r="D323" s="183">
        <f t="shared" si="43"/>
        <v>184.02690768512142</v>
      </c>
      <c r="E323" s="183">
        <f t="shared" si="44"/>
        <v>0</v>
      </c>
      <c r="F323" s="227"/>
      <c r="G323" s="183">
        <f t="shared" si="45"/>
        <v>184.02690768512142</v>
      </c>
      <c r="H323" s="183">
        <f t="shared" si="46"/>
        <v>250.42479561946868</v>
      </c>
      <c r="I323" s="183">
        <f t="shared" si="47"/>
        <v>-66.397887934347281</v>
      </c>
      <c r="J323" s="184">
        <f t="shared" si="48"/>
        <v>-40089.157556227838</v>
      </c>
      <c r="K323" s="51" t="str">
        <f t="shared" si="52"/>
        <v/>
      </c>
      <c r="L323" s="48"/>
    </row>
    <row r="324" spans="1:12" x14ac:dyDescent="0.25">
      <c r="A324" s="35">
        <f t="shared" si="49"/>
        <v>307</v>
      </c>
      <c r="B324" s="182">
        <f t="shared" si="50"/>
        <v>54240</v>
      </c>
      <c r="C324" s="183">
        <f t="shared" si="51"/>
        <v>-40089.157556227838</v>
      </c>
      <c r="D324" s="183">
        <f t="shared" si="43"/>
        <v>184.02690768512142</v>
      </c>
      <c r="E324" s="183">
        <f t="shared" si="44"/>
        <v>0</v>
      </c>
      <c r="F324" s="227"/>
      <c r="G324" s="183">
        <f t="shared" si="45"/>
        <v>184.02690768512142</v>
      </c>
      <c r="H324" s="183">
        <f t="shared" si="46"/>
        <v>250.84217027883449</v>
      </c>
      <c r="I324" s="183">
        <f t="shared" si="47"/>
        <v>-66.815262593713058</v>
      </c>
      <c r="J324" s="184">
        <f t="shared" si="48"/>
        <v>-40339.99972650667</v>
      </c>
      <c r="K324" s="51" t="str">
        <f t="shared" si="52"/>
        <v/>
      </c>
      <c r="L324" s="48"/>
    </row>
    <row r="325" spans="1:12" x14ac:dyDescent="0.25">
      <c r="A325" s="35">
        <f t="shared" si="49"/>
        <v>308</v>
      </c>
      <c r="B325" s="182">
        <f t="shared" si="50"/>
        <v>54271</v>
      </c>
      <c r="C325" s="183">
        <f t="shared" si="51"/>
        <v>-40339.99972650667</v>
      </c>
      <c r="D325" s="183">
        <f t="shared" si="43"/>
        <v>184.02690768512142</v>
      </c>
      <c r="E325" s="183">
        <f t="shared" si="44"/>
        <v>0</v>
      </c>
      <c r="F325" s="227"/>
      <c r="G325" s="183">
        <f t="shared" si="45"/>
        <v>184.02690768512142</v>
      </c>
      <c r="H325" s="183">
        <f t="shared" si="46"/>
        <v>251.26024056263253</v>
      </c>
      <c r="I325" s="183">
        <f t="shared" si="47"/>
        <v>-67.233332877511117</v>
      </c>
      <c r="J325" s="184">
        <f t="shared" si="48"/>
        <v>-40591.259967069302</v>
      </c>
      <c r="K325" s="51" t="str">
        <f t="shared" si="52"/>
        <v/>
      </c>
      <c r="L325" s="48"/>
    </row>
    <row r="326" spans="1:12" x14ac:dyDescent="0.25">
      <c r="A326" s="35">
        <f t="shared" si="49"/>
        <v>309</v>
      </c>
      <c r="B326" s="182">
        <f t="shared" si="50"/>
        <v>54302</v>
      </c>
      <c r="C326" s="183">
        <f t="shared" si="51"/>
        <v>-40591.259967069302</v>
      </c>
      <c r="D326" s="183">
        <f t="shared" si="43"/>
        <v>184.02690768512142</v>
      </c>
      <c r="E326" s="183">
        <f t="shared" si="44"/>
        <v>0</v>
      </c>
      <c r="F326" s="227"/>
      <c r="G326" s="183">
        <f t="shared" si="45"/>
        <v>184.02690768512142</v>
      </c>
      <c r="H326" s="183">
        <f t="shared" si="46"/>
        <v>251.67900763023692</v>
      </c>
      <c r="I326" s="183">
        <f t="shared" si="47"/>
        <v>-67.652099945115495</v>
      </c>
      <c r="J326" s="184">
        <f t="shared" si="48"/>
        <v>-40842.938974699537</v>
      </c>
      <c r="K326" s="51" t="str">
        <f t="shared" si="52"/>
        <v/>
      </c>
      <c r="L326" s="48"/>
    </row>
    <row r="327" spans="1:12" x14ac:dyDescent="0.25">
      <c r="A327" s="35">
        <f t="shared" si="49"/>
        <v>310</v>
      </c>
      <c r="B327" s="182">
        <f t="shared" si="50"/>
        <v>54332</v>
      </c>
      <c r="C327" s="183">
        <f t="shared" si="51"/>
        <v>-40842.938974699537</v>
      </c>
      <c r="D327" s="183">
        <f t="shared" si="43"/>
        <v>184.02690768512142</v>
      </c>
      <c r="E327" s="183">
        <f t="shared" si="44"/>
        <v>0</v>
      </c>
      <c r="F327" s="227"/>
      <c r="G327" s="183">
        <f t="shared" si="45"/>
        <v>184.02690768512142</v>
      </c>
      <c r="H327" s="183">
        <f t="shared" si="46"/>
        <v>252.09847264295399</v>
      </c>
      <c r="I327" s="183">
        <f t="shared" si="47"/>
        <v>-68.071564957832564</v>
      </c>
      <c r="J327" s="184">
        <f t="shared" si="48"/>
        <v>-41095.037447342489</v>
      </c>
      <c r="K327" s="51" t="str">
        <f t="shared" si="52"/>
        <v/>
      </c>
      <c r="L327" s="48"/>
    </row>
    <row r="328" spans="1:12" x14ac:dyDescent="0.25">
      <c r="A328" s="35">
        <f t="shared" si="49"/>
        <v>311</v>
      </c>
      <c r="B328" s="182">
        <f t="shared" si="50"/>
        <v>54363</v>
      </c>
      <c r="C328" s="183">
        <f t="shared" si="51"/>
        <v>-41095.037447342489</v>
      </c>
      <c r="D328" s="183">
        <f t="shared" si="43"/>
        <v>184.02690768512142</v>
      </c>
      <c r="E328" s="183">
        <f t="shared" si="44"/>
        <v>0</v>
      </c>
      <c r="F328" s="227"/>
      <c r="G328" s="183">
        <f t="shared" si="45"/>
        <v>184.02690768512142</v>
      </c>
      <c r="H328" s="183">
        <f t="shared" si="46"/>
        <v>252.51863676402559</v>
      </c>
      <c r="I328" s="183">
        <f t="shared" si="47"/>
        <v>-68.491729078904157</v>
      </c>
      <c r="J328" s="184">
        <f t="shared" si="48"/>
        <v>-41347.556084106516</v>
      </c>
      <c r="K328" s="51" t="str">
        <f t="shared" si="52"/>
        <v/>
      </c>
      <c r="L328" s="48"/>
    </row>
    <row r="329" spans="1:12" x14ac:dyDescent="0.25">
      <c r="A329" s="35">
        <f t="shared" si="49"/>
        <v>312</v>
      </c>
      <c r="B329" s="182">
        <f t="shared" si="50"/>
        <v>54393</v>
      </c>
      <c r="C329" s="183">
        <f t="shared" si="51"/>
        <v>-41347.556084106516</v>
      </c>
      <c r="D329" s="183">
        <f t="shared" si="43"/>
        <v>184.02690768512142</v>
      </c>
      <c r="E329" s="183">
        <f t="shared" si="44"/>
        <v>0</v>
      </c>
      <c r="F329" s="227"/>
      <c r="G329" s="183">
        <f t="shared" si="45"/>
        <v>184.02690768512142</v>
      </c>
      <c r="H329" s="183">
        <f t="shared" si="46"/>
        <v>252.93950115863225</v>
      </c>
      <c r="I329" s="183">
        <f t="shared" si="47"/>
        <v>-68.912593473510853</v>
      </c>
      <c r="J329" s="184">
        <f t="shared" si="48"/>
        <v>-41600.495585265147</v>
      </c>
      <c r="K329" s="51" t="str">
        <f t="shared" si="52"/>
        <v/>
      </c>
      <c r="L329" s="48"/>
    </row>
    <row r="330" spans="1:12" x14ac:dyDescent="0.25">
      <c r="A330" s="35">
        <f t="shared" si="49"/>
        <v>313</v>
      </c>
      <c r="B330" s="182">
        <f t="shared" si="50"/>
        <v>54424</v>
      </c>
      <c r="C330" s="183">
        <f t="shared" si="51"/>
        <v>-41600.495585265147</v>
      </c>
      <c r="D330" s="183">
        <f t="shared" si="43"/>
        <v>184.02690768512142</v>
      </c>
      <c r="E330" s="183">
        <f t="shared" si="44"/>
        <v>0</v>
      </c>
      <c r="F330" s="227"/>
      <c r="G330" s="183">
        <f t="shared" si="45"/>
        <v>184.02690768512142</v>
      </c>
      <c r="H330" s="183">
        <f t="shared" si="46"/>
        <v>253.36106699389666</v>
      </c>
      <c r="I330" s="183">
        <f t="shared" si="47"/>
        <v>-69.334159308775256</v>
      </c>
      <c r="J330" s="184">
        <f t="shared" si="48"/>
        <v>-41853.856652259041</v>
      </c>
      <c r="K330" s="51" t="str">
        <f t="shared" si="52"/>
        <v/>
      </c>
      <c r="L330" s="48"/>
    </row>
    <row r="331" spans="1:12" x14ac:dyDescent="0.25">
      <c r="A331" s="35">
        <f t="shared" si="49"/>
        <v>314</v>
      </c>
      <c r="B331" s="182">
        <f t="shared" si="50"/>
        <v>54455</v>
      </c>
      <c r="C331" s="183">
        <f t="shared" si="51"/>
        <v>-41853.856652259041</v>
      </c>
      <c r="D331" s="183">
        <f t="shared" si="43"/>
        <v>184.02690768512142</v>
      </c>
      <c r="E331" s="183">
        <f t="shared" si="44"/>
        <v>0</v>
      </c>
      <c r="F331" s="227"/>
      <c r="G331" s="183">
        <f t="shared" si="45"/>
        <v>184.02690768512142</v>
      </c>
      <c r="H331" s="183">
        <f t="shared" si="46"/>
        <v>253.78333543888647</v>
      </c>
      <c r="I331" s="183">
        <f t="shared" si="47"/>
        <v>-69.756427753765067</v>
      </c>
      <c r="J331" s="184">
        <f t="shared" si="48"/>
        <v>-42107.639987697927</v>
      </c>
      <c r="K331" s="51" t="str">
        <f t="shared" si="52"/>
        <v/>
      </c>
      <c r="L331" s="48"/>
    </row>
    <row r="332" spans="1:12" x14ac:dyDescent="0.25">
      <c r="A332" s="35">
        <f t="shared" si="49"/>
        <v>315</v>
      </c>
      <c r="B332" s="182">
        <f t="shared" si="50"/>
        <v>54483</v>
      </c>
      <c r="C332" s="183">
        <f t="shared" si="51"/>
        <v>-42107.639987697927</v>
      </c>
      <c r="D332" s="183">
        <f t="shared" si="43"/>
        <v>184.02690768512142</v>
      </c>
      <c r="E332" s="183">
        <f t="shared" si="44"/>
        <v>0</v>
      </c>
      <c r="F332" s="227"/>
      <c r="G332" s="183">
        <f t="shared" si="45"/>
        <v>184.02690768512142</v>
      </c>
      <c r="H332" s="183">
        <f t="shared" si="46"/>
        <v>254.20630766461795</v>
      </c>
      <c r="I332" s="183">
        <f t="shared" si="47"/>
        <v>-70.179399979496552</v>
      </c>
      <c r="J332" s="184">
        <f t="shared" si="48"/>
        <v>-42361.846295362542</v>
      </c>
      <c r="K332" s="51" t="str">
        <f t="shared" si="52"/>
        <v/>
      </c>
      <c r="L332" s="48"/>
    </row>
    <row r="333" spans="1:12" x14ac:dyDescent="0.25">
      <c r="A333" s="35">
        <f t="shared" si="49"/>
        <v>316</v>
      </c>
      <c r="B333" s="182">
        <f t="shared" si="50"/>
        <v>54514</v>
      </c>
      <c r="C333" s="183">
        <f t="shared" si="51"/>
        <v>-42361.846295362542</v>
      </c>
      <c r="D333" s="183">
        <f t="shared" si="43"/>
        <v>184.02690768512142</v>
      </c>
      <c r="E333" s="183">
        <f t="shared" si="44"/>
        <v>0</v>
      </c>
      <c r="F333" s="227"/>
      <c r="G333" s="183">
        <f t="shared" si="45"/>
        <v>184.02690768512142</v>
      </c>
      <c r="H333" s="183">
        <f t="shared" si="46"/>
        <v>254.62998484405898</v>
      </c>
      <c r="I333" s="183">
        <f t="shared" si="47"/>
        <v>-70.60307715893758</v>
      </c>
      <c r="J333" s="184">
        <f t="shared" si="48"/>
        <v>-42616.476280206603</v>
      </c>
      <c r="K333" s="51" t="str">
        <f t="shared" si="52"/>
        <v/>
      </c>
      <c r="L333" s="48"/>
    </row>
    <row r="334" spans="1:12" x14ac:dyDescent="0.25">
      <c r="A334" s="35">
        <f t="shared" si="49"/>
        <v>317</v>
      </c>
      <c r="B334" s="182">
        <f t="shared" si="50"/>
        <v>54544</v>
      </c>
      <c r="C334" s="183">
        <f t="shared" si="51"/>
        <v>-42616.476280206603</v>
      </c>
      <c r="D334" s="183">
        <f t="shared" si="43"/>
        <v>184.02690768512142</v>
      </c>
      <c r="E334" s="183">
        <f t="shared" si="44"/>
        <v>0</v>
      </c>
      <c r="F334" s="227"/>
      <c r="G334" s="183">
        <f t="shared" si="45"/>
        <v>184.02690768512142</v>
      </c>
      <c r="H334" s="183">
        <f t="shared" si="46"/>
        <v>255.05436815213244</v>
      </c>
      <c r="I334" s="183">
        <f t="shared" si="47"/>
        <v>-71.027460467011011</v>
      </c>
      <c r="J334" s="184">
        <f t="shared" si="48"/>
        <v>-42871.530648358734</v>
      </c>
      <c r="K334" s="51" t="str">
        <f t="shared" si="52"/>
        <v/>
      </c>
      <c r="L334" s="48"/>
    </row>
    <row r="335" spans="1:12" x14ac:dyDescent="0.25">
      <c r="A335" s="35">
        <f t="shared" si="49"/>
        <v>318</v>
      </c>
      <c r="B335" s="182">
        <f t="shared" si="50"/>
        <v>54575</v>
      </c>
      <c r="C335" s="183">
        <f t="shared" si="51"/>
        <v>-42871.530648358734</v>
      </c>
      <c r="D335" s="183">
        <f t="shared" si="43"/>
        <v>184.02690768512142</v>
      </c>
      <c r="E335" s="183">
        <f t="shared" si="44"/>
        <v>0</v>
      </c>
      <c r="F335" s="227"/>
      <c r="G335" s="183">
        <f t="shared" si="45"/>
        <v>184.02690768512142</v>
      </c>
      <c r="H335" s="183">
        <f t="shared" si="46"/>
        <v>255.4794587657193</v>
      </c>
      <c r="I335" s="183">
        <f t="shared" si="47"/>
        <v>-71.4525510805979</v>
      </c>
      <c r="J335" s="184">
        <f t="shared" si="48"/>
        <v>-43127.01010712445</v>
      </c>
      <c r="K335" s="51" t="str">
        <f t="shared" si="52"/>
        <v/>
      </c>
      <c r="L335" s="48"/>
    </row>
    <row r="336" spans="1:12" x14ac:dyDescent="0.25">
      <c r="A336" s="35">
        <f t="shared" si="49"/>
        <v>319</v>
      </c>
      <c r="B336" s="182">
        <f t="shared" si="50"/>
        <v>54605</v>
      </c>
      <c r="C336" s="183">
        <f t="shared" si="51"/>
        <v>-43127.01010712445</v>
      </c>
      <c r="D336" s="183">
        <f t="shared" si="43"/>
        <v>184.02690768512142</v>
      </c>
      <c r="E336" s="183">
        <f t="shared" si="44"/>
        <v>0</v>
      </c>
      <c r="F336" s="227"/>
      <c r="G336" s="183">
        <f t="shared" si="45"/>
        <v>184.02690768512142</v>
      </c>
      <c r="H336" s="183">
        <f t="shared" si="46"/>
        <v>255.90525786366214</v>
      </c>
      <c r="I336" s="183">
        <f t="shared" si="47"/>
        <v>-71.878350178540742</v>
      </c>
      <c r="J336" s="184">
        <f t="shared" si="48"/>
        <v>-43382.915364988112</v>
      </c>
      <c r="K336" s="51" t="str">
        <f t="shared" si="52"/>
        <v/>
      </c>
      <c r="L336" s="48"/>
    </row>
    <row r="337" spans="1:12" x14ac:dyDescent="0.25">
      <c r="A337" s="35">
        <f t="shared" si="49"/>
        <v>320</v>
      </c>
      <c r="B337" s="182">
        <f t="shared" si="50"/>
        <v>54636</v>
      </c>
      <c r="C337" s="183">
        <f t="shared" si="51"/>
        <v>-43382.915364988112</v>
      </c>
      <c r="D337" s="183">
        <f t="shared" si="43"/>
        <v>184.02690768512142</v>
      </c>
      <c r="E337" s="183">
        <f t="shared" si="44"/>
        <v>0</v>
      </c>
      <c r="F337" s="227"/>
      <c r="G337" s="183">
        <f t="shared" si="45"/>
        <v>184.02690768512142</v>
      </c>
      <c r="H337" s="183">
        <f t="shared" si="46"/>
        <v>256.33176662676829</v>
      </c>
      <c r="I337" s="183">
        <f t="shared" si="47"/>
        <v>-72.304858941646856</v>
      </c>
      <c r="J337" s="184">
        <f t="shared" si="48"/>
        <v>-43639.24713161488</v>
      </c>
      <c r="K337" s="51" t="str">
        <f t="shared" si="52"/>
        <v/>
      </c>
      <c r="L337" s="48"/>
    </row>
    <row r="338" spans="1:12" x14ac:dyDescent="0.25">
      <c r="A338" s="35">
        <f t="shared" si="49"/>
        <v>321</v>
      </c>
      <c r="B338" s="182">
        <f t="shared" si="50"/>
        <v>54667</v>
      </c>
      <c r="C338" s="183">
        <f t="shared" si="51"/>
        <v>-43639.24713161488</v>
      </c>
      <c r="D338" s="183">
        <f t="shared" ref="D338:D377" si="53">IF(Pay_Num&lt;&gt;"",Scheduled_Monthly_Payment,"")</f>
        <v>184.02690768512142</v>
      </c>
      <c r="E338" s="183">
        <f t="shared" ref="E338:E376" si="54">IF(Pay_Num&lt;&gt;"",Scheduled_Extra_Payments,"")</f>
        <v>0</v>
      </c>
      <c r="F338" s="227"/>
      <c r="G338" s="183">
        <f t="shared" ref="G338:G377" si="55">IF(Pay_Num&lt;&gt;"",Sched_Pay+Extra_Pay,"")+F338</f>
        <v>184.02690768512142</v>
      </c>
      <c r="H338" s="183">
        <f t="shared" ref="H338:H377" si="56">IF(Pay_Num&lt;&gt;"",Total_Pay-Int,"")</f>
        <v>256.75898623781291</v>
      </c>
      <c r="I338" s="183">
        <f t="shared" ref="I338:I377" si="57">IF(Pay_Num&lt;&gt;"",Beg_Bal*Interest_Rate/12,"")</f>
        <v>-72.732078552691476</v>
      </c>
      <c r="J338" s="184">
        <f t="shared" ref="J338:J377" si="58">IF(Pay_Num&lt;&gt;"",Beg_Bal-Princ,"")</f>
        <v>-43896.006117852696</v>
      </c>
      <c r="K338" s="51" t="str">
        <f t="shared" si="52"/>
        <v/>
      </c>
      <c r="L338" s="48"/>
    </row>
    <row r="339" spans="1:12" x14ac:dyDescent="0.25">
      <c r="A339" s="35">
        <f t="shared" ref="A339:A377" si="59">IF(Values_Entered,A338+1,"")</f>
        <v>322</v>
      </c>
      <c r="B339" s="182">
        <f t="shared" ref="B339:B377" si="60">IF(Pay_Num&lt;&gt;"",DATE(YEAR(B338),MONTH(B338)+1,DAY(B338)),"")</f>
        <v>54697</v>
      </c>
      <c r="C339" s="183">
        <f t="shared" ref="C339:C377" si="61">IF(Pay_Num&lt;&gt;"",J338,"")</f>
        <v>-43896.006117852696</v>
      </c>
      <c r="D339" s="183">
        <f t="shared" si="53"/>
        <v>184.02690768512142</v>
      </c>
      <c r="E339" s="183">
        <f t="shared" si="54"/>
        <v>0</v>
      </c>
      <c r="F339" s="227"/>
      <c r="G339" s="183">
        <f t="shared" si="55"/>
        <v>184.02690768512142</v>
      </c>
      <c r="H339" s="183">
        <f t="shared" si="56"/>
        <v>257.18691788154257</v>
      </c>
      <c r="I339" s="183">
        <f t="shared" si="57"/>
        <v>-73.160010196421169</v>
      </c>
      <c r="J339" s="184">
        <f t="shared" si="58"/>
        <v>-44153.193035734235</v>
      </c>
      <c r="K339" s="51" t="str">
        <f t="shared" ref="K339:K377" si="62">IF(A339&gt;$D$13,"",K338+1)</f>
        <v/>
      </c>
      <c r="L339" s="48"/>
    </row>
    <row r="340" spans="1:12" x14ac:dyDescent="0.25">
      <c r="A340" s="35">
        <f t="shared" si="59"/>
        <v>323</v>
      </c>
      <c r="B340" s="182">
        <f t="shared" si="60"/>
        <v>54728</v>
      </c>
      <c r="C340" s="183">
        <f t="shared" si="61"/>
        <v>-44153.193035734235</v>
      </c>
      <c r="D340" s="183">
        <f t="shared" si="53"/>
        <v>184.02690768512142</v>
      </c>
      <c r="E340" s="183">
        <f t="shared" si="54"/>
        <v>0</v>
      </c>
      <c r="F340" s="227"/>
      <c r="G340" s="183">
        <f t="shared" si="55"/>
        <v>184.02690768512142</v>
      </c>
      <c r="H340" s="183">
        <f t="shared" si="56"/>
        <v>257.61556274467847</v>
      </c>
      <c r="I340" s="183">
        <f t="shared" si="57"/>
        <v>-73.58865505955707</v>
      </c>
      <c r="J340" s="184">
        <f t="shared" si="58"/>
        <v>-44410.808598478914</v>
      </c>
      <c r="K340" s="51" t="str">
        <f t="shared" si="62"/>
        <v/>
      </c>
      <c r="L340" s="48"/>
    </row>
    <row r="341" spans="1:12" x14ac:dyDescent="0.25">
      <c r="A341" s="35">
        <f t="shared" si="59"/>
        <v>324</v>
      </c>
      <c r="B341" s="182">
        <f t="shared" si="60"/>
        <v>54758</v>
      </c>
      <c r="C341" s="183">
        <f t="shared" si="61"/>
        <v>-44410.808598478914</v>
      </c>
      <c r="D341" s="183">
        <f t="shared" si="53"/>
        <v>184.02690768512142</v>
      </c>
      <c r="E341" s="183">
        <f t="shared" si="54"/>
        <v>0</v>
      </c>
      <c r="F341" s="227"/>
      <c r="G341" s="183">
        <f t="shared" si="55"/>
        <v>184.02690768512142</v>
      </c>
      <c r="H341" s="183">
        <f t="shared" si="56"/>
        <v>258.04492201591961</v>
      </c>
      <c r="I341" s="183">
        <f t="shared" si="57"/>
        <v>-74.018014330798195</v>
      </c>
      <c r="J341" s="184">
        <f t="shared" si="58"/>
        <v>-44668.853520494835</v>
      </c>
      <c r="K341" s="51" t="str">
        <f t="shared" si="62"/>
        <v/>
      </c>
      <c r="L341" s="48"/>
    </row>
    <row r="342" spans="1:12" x14ac:dyDescent="0.25">
      <c r="A342" s="35">
        <f t="shared" si="59"/>
        <v>325</v>
      </c>
      <c r="B342" s="182">
        <f t="shared" si="60"/>
        <v>54789</v>
      </c>
      <c r="C342" s="183">
        <f t="shared" si="61"/>
        <v>-44668.853520494835</v>
      </c>
      <c r="D342" s="183">
        <f t="shared" si="53"/>
        <v>184.02690768512142</v>
      </c>
      <c r="E342" s="183">
        <f t="shared" si="54"/>
        <v>0</v>
      </c>
      <c r="F342" s="227"/>
      <c r="G342" s="183">
        <f t="shared" si="55"/>
        <v>184.02690768512142</v>
      </c>
      <c r="H342" s="183">
        <f t="shared" si="56"/>
        <v>258.47499688594615</v>
      </c>
      <c r="I342" s="183">
        <f t="shared" si="57"/>
        <v>-74.448089200824725</v>
      </c>
      <c r="J342" s="184">
        <f t="shared" si="58"/>
        <v>-44927.328517380782</v>
      </c>
      <c r="K342" s="51" t="str">
        <f t="shared" si="62"/>
        <v/>
      </c>
      <c r="L342" s="48"/>
    </row>
    <row r="343" spans="1:12" x14ac:dyDescent="0.25">
      <c r="A343" s="35">
        <f t="shared" si="59"/>
        <v>326</v>
      </c>
      <c r="B343" s="182">
        <f t="shared" si="60"/>
        <v>54820</v>
      </c>
      <c r="C343" s="183">
        <f t="shared" si="61"/>
        <v>-44927.328517380782</v>
      </c>
      <c r="D343" s="183">
        <f t="shared" si="53"/>
        <v>184.02690768512142</v>
      </c>
      <c r="E343" s="183">
        <f t="shared" si="54"/>
        <v>0</v>
      </c>
      <c r="F343" s="227"/>
      <c r="G343" s="183">
        <f t="shared" si="55"/>
        <v>184.02690768512142</v>
      </c>
      <c r="H343" s="183">
        <f t="shared" si="56"/>
        <v>258.90578854742273</v>
      </c>
      <c r="I343" s="183">
        <f t="shared" si="57"/>
        <v>-74.878880862301301</v>
      </c>
      <c r="J343" s="184">
        <f t="shared" si="58"/>
        <v>-45186.234305928207</v>
      </c>
      <c r="K343" s="51" t="str">
        <f t="shared" si="62"/>
        <v/>
      </c>
      <c r="L343" s="48"/>
    </row>
    <row r="344" spans="1:12" x14ac:dyDescent="0.25">
      <c r="A344" s="35">
        <f t="shared" si="59"/>
        <v>327</v>
      </c>
      <c r="B344" s="182">
        <f t="shared" si="60"/>
        <v>54848</v>
      </c>
      <c r="C344" s="183">
        <f t="shared" si="61"/>
        <v>-45186.234305928207</v>
      </c>
      <c r="D344" s="183">
        <f t="shared" si="53"/>
        <v>184.02690768512142</v>
      </c>
      <c r="E344" s="183">
        <f t="shared" si="54"/>
        <v>0</v>
      </c>
      <c r="F344" s="227"/>
      <c r="G344" s="183">
        <f t="shared" si="55"/>
        <v>184.02690768512142</v>
      </c>
      <c r="H344" s="183">
        <f t="shared" si="56"/>
        <v>259.33729819500178</v>
      </c>
      <c r="I344" s="183">
        <f t="shared" si="57"/>
        <v>-75.310390509880349</v>
      </c>
      <c r="J344" s="184">
        <f t="shared" si="58"/>
        <v>-45445.571604123208</v>
      </c>
      <c r="K344" s="51" t="str">
        <f t="shared" si="62"/>
        <v/>
      </c>
      <c r="L344" s="48"/>
    </row>
    <row r="345" spans="1:12" x14ac:dyDescent="0.25">
      <c r="A345" s="35">
        <f t="shared" si="59"/>
        <v>328</v>
      </c>
      <c r="B345" s="182">
        <f t="shared" si="60"/>
        <v>54879</v>
      </c>
      <c r="C345" s="183">
        <f t="shared" si="61"/>
        <v>-45445.571604123208</v>
      </c>
      <c r="D345" s="183">
        <f t="shared" si="53"/>
        <v>184.02690768512142</v>
      </c>
      <c r="E345" s="183">
        <f t="shared" si="54"/>
        <v>0</v>
      </c>
      <c r="F345" s="227"/>
      <c r="G345" s="183">
        <f t="shared" si="55"/>
        <v>184.02690768512142</v>
      </c>
      <c r="H345" s="183">
        <f t="shared" si="56"/>
        <v>259.76952702532674</v>
      </c>
      <c r="I345" s="183">
        <f t="shared" si="57"/>
        <v>-75.742619340205351</v>
      </c>
      <c r="J345" s="184">
        <f t="shared" si="58"/>
        <v>-45705.341131148532</v>
      </c>
      <c r="K345" s="51" t="str">
        <f t="shared" si="62"/>
        <v/>
      </c>
      <c r="L345" s="48"/>
    </row>
    <row r="346" spans="1:12" x14ac:dyDescent="0.25">
      <c r="A346" s="35">
        <f t="shared" si="59"/>
        <v>329</v>
      </c>
      <c r="B346" s="182">
        <f t="shared" si="60"/>
        <v>54909</v>
      </c>
      <c r="C346" s="183">
        <f t="shared" si="61"/>
        <v>-45705.341131148532</v>
      </c>
      <c r="D346" s="183">
        <f t="shared" si="53"/>
        <v>184.02690768512142</v>
      </c>
      <c r="E346" s="183">
        <f t="shared" si="54"/>
        <v>0</v>
      </c>
      <c r="F346" s="227"/>
      <c r="G346" s="183">
        <f t="shared" si="55"/>
        <v>184.02690768512142</v>
      </c>
      <c r="H346" s="183">
        <f t="shared" si="56"/>
        <v>260.20247623703563</v>
      </c>
      <c r="I346" s="183">
        <f t="shared" si="57"/>
        <v>-76.175568551914225</v>
      </c>
      <c r="J346" s="184">
        <f t="shared" si="58"/>
        <v>-45965.543607385567</v>
      </c>
      <c r="K346" s="51" t="str">
        <f t="shared" si="62"/>
        <v/>
      </c>
      <c r="L346" s="48"/>
    </row>
    <row r="347" spans="1:12" x14ac:dyDescent="0.25">
      <c r="A347" s="35">
        <f t="shared" si="59"/>
        <v>330</v>
      </c>
      <c r="B347" s="182">
        <f t="shared" si="60"/>
        <v>54940</v>
      </c>
      <c r="C347" s="183">
        <f t="shared" si="61"/>
        <v>-45965.543607385567</v>
      </c>
      <c r="D347" s="183">
        <f t="shared" si="53"/>
        <v>184.02690768512142</v>
      </c>
      <c r="E347" s="183">
        <f t="shared" si="54"/>
        <v>0</v>
      </c>
      <c r="F347" s="227"/>
      <c r="G347" s="183">
        <f t="shared" si="55"/>
        <v>184.02690768512142</v>
      </c>
      <c r="H347" s="183">
        <f t="shared" si="56"/>
        <v>260.63614703076405</v>
      </c>
      <c r="I347" s="183">
        <f t="shared" si="57"/>
        <v>-76.609239345642621</v>
      </c>
      <c r="J347" s="184">
        <f t="shared" si="58"/>
        <v>-46226.179754416335</v>
      </c>
      <c r="K347" s="51" t="str">
        <f t="shared" si="62"/>
        <v/>
      </c>
      <c r="L347" s="48"/>
    </row>
    <row r="348" spans="1:12" x14ac:dyDescent="0.25">
      <c r="A348" s="35">
        <f t="shared" si="59"/>
        <v>331</v>
      </c>
      <c r="B348" s="182">
        <f t="shared" si="60"/>
        <v>54970</v>
      </c>
      <c r="C348" s="183">
        <f t="shared" si="61"/>
        <v>-46226.179754416335</v>
      </c>
      <c r="D348" s="183">
        <f t="shared" si="53"/>
        <v>184.02690768512142</v>
      </c>
      <c r="E348" s="183">
        <f t="shared" si="54"/>
        <v>0</v>
      </c>
      <c r="F348" s="227"/>
      <c r="G348" s="183">
        <f t="shared" si="55"/>
        <v>184.02690768512142</v>
      </c>
      <c r="H348" s="183">
        <f t="shared" si="56"/>
        <v>261.07054060914862</v>
      </c>
      <c r="I348" s="183">
        <f t="shared" si="57"/>
        <v>-77.043632924027222</v>
      </c>
      <c r="J348" s="184">
        <f t="shared" si="58"/>
        <v>-46487.250295025486</v>
      </c>
      <c r="K348" s="51" t="str">
        <f t="shared" si="62"/>
        <v/>
      </c>
      <c r="L348" s="48"/>
    </row>
    <row r="349" spans="1:12" x14ac:dyDescent="0.25">
      <c r="A349" s="35">
        <f t="shared" si="59"/>
        <v>332</v>
      </c>
      <c r="B349" s="182">
        <f t="shared" si="60"/>
        <v>55001</v>
      </c>
      <c r="C349" s="183">
        <f t="shared" si="61"/>
        <v>-46487.250295025486</v>
      </c>
      <c r="D349" s="183">
        <f t="shared" si="53"/>
        <v>184.02690768512142</v>
      </c>
      <c r="E349" s="183">
        <f t="shared" si="54"/>
        <v>0</v>
      </c>
      <c r="F349" s="227"/>
      <c r="G349" s="183">
        <f t="shared" si="55"/>
        <v>184.02690768512142</v>
      </c>
      <c r="H349" s="183">
        <f t="shared" si="56"/>
        <v>261.50565817683054</v>
      </c>
      <c r="I349" s="183">
        <f t="shared" si="57"/>
        <v>-77.478750491709135</v>
      </c>
      <c r="J349" s="184">
        <f t="shared" si="58"/>
        <v>-46748.755953202315</v>
      </c>
      <c r="K349" s="51" t="str">
        <f t="shared" si="62"/>
        <v/>
      </c>
      <c r="L349" s="48"/>
    </row>
    <row r="350" spans="1:12" x14ac:dyDescent="0.25">
      <c r="A350" s="35">
        <f t="shared" si="59"/>
        <v>333</v>
      </c>
      <c r="B350" s="182">
        <f t="shared" si="60"/>
        <v>55032</v>
      </c>
      <c r="C350" s="183">
        <f t="shared" si="61"/>
        <v>-46748.755953202315</v>
      </c>
      <c r="D350" s="183">
        <f t="shared" si="53"/>
        <v>184.02690768512142</v>
      </c>
      <c r="E350" s="183">
        <f t="shared" si="54"/>
        <v>0</v>
      </c>
      <c r="F350" s="227"/>
      <c r="G350" s="183">
        <f t="shared" si="55"/>
        <v>184.02690768512142</v>
      </c>
      <c r="H350" s="183">
        <f t="shared" si="56"/>
        <v>261.94150094045858</v>
      </c>
      <c r="I350" s="183">
        <f t="shared" si="57"/>
        <v>-77.914593255337195</v>
      </c>
      <c r="J350" s="184">
        <f t="shared" si="58"/>
        <v>-47010.697454142777</v>
      </c>
      <c r="K350" s="51" t="str">
        <f t="shared" si="62"/>
        <v/>
      </c>
      <c r="L350" s="48"/>
    </row>
    <row r="351" spans="1:12" x14ac:dyDescent="0.25">
      <c r="A351" s="35">
        <f t="shared" si="59"/>
        <v>334</v>
      </c>
      <c r="B351" s="182">
        <f t="shared" si="60"/>
        <v>55062</v>
      </c>
      <c r="C351" s="183">
        <f t="shared" si="61"/>
        <v>-47010.697454142777</v>
      </c>
      <c r="D351" s="183">
        <f t="shared" si="53"/>
        <v>184.02690768512142</v>
      </c>
      <c r="E351" s="183">
        <f t="shared" si="54"/>
        <v>0</v>
      </c>
      <c r="F351" s="227"/>
      <c r="G351" s="183">
        <f t="shared" si="55"/>
        <v>184.02690768512142</v>
      </c>
      <c r="H351" s="183">
        <f t="shared" si="56"/>
        <v>262.37807010869273</v>
      </c>
      <c r="I351" s="183">
        <f t="shared" si="57"/>
        <v>-78.351162423571296</v>
      </c>
      <c r="J351" s="184">
        <f t="shared" si="58"/>
        <v>-47273.075524251472</v>
      </c>
      <c r="K351" s="51" t="str">
        <f t="shared" si="62"/>
        <v/>
      </c>
      <c r="L351" s="48"/>
    </row>
    <row r="352" spans="1:12" x14ac:dyDescent="0.25">
      <c r="A352" s="35">
        <f t="shared" si="59"/>
        <v>335</v>
      </c>
      <c r="B352" s="182">
        <f t="shared" si="60"/>
        <v>55093</v>
      </c>
      <c r="C352" s="183">
        <f t="shared" si="61"/>
        <v>-47273.075524251472</v>
      </c>
      <c r="D352" s="183">
        <f t="shared" si="53"/>
        <v>184.02690768512142</v>
      </c>
      <c r="E352" s="183">
        <f t="shared" si="54"/>
        <v>0</v>
      </c>
      <c r="F352" s="227"/>
      <c r="G352" s="183">
        <f t="shared" si="55"/>
        <v>184.02690768512142</v>
      </c>
      <c r="H352" s="183">
        <f t="shared" si="56"/>
        <v>262.81536689220718</v>
      </c>
      <c r="I352" s="183">
        <f t="shared" si="57"/>
        <v>-78.788459207085779</v>
      </c>
      <c r="J352" s="184">
        <f t="shared" si="58"/>
        <v>-47535.890891143681</v>
      </c>
      <c r="K352" s="51" t="str">
        <f t="shared" si="62"/>
        <v/>
      </c>
      <c r="L352" s="48"/>
    </row>
    <row r="353" spans="1:12" x14ac:dyDescent="0.25">
      <c r="A353" s="35">
        <f t="shared" si="59"/>
        <v>336</v>
      </c>
      <c r="B353" s="182">
        <f t="shared" si="60"/>
        <v>55123</v>
      </c>
      <c r="C353" s="183">
        <f t="shared" si="61"/>
        <v>-47535.890891143681</v>
      </c>
      <c r="D353" s="183">
        <f t="shared" si="53"/>
        <v>184.02690768512142</v>
      </c>
      <c r="E353" s="183">
        <f t="shared" si="54"/>
        <v>0</v>
      </c>
      <c r="F353" s="227"/>
      <c r="G353" s="183">
        <f t="shared" si="55"/>
        <v>184.02690768512142</v>
      </c>
      <c r="H353" s="183">
        <f t="shared" si="56"/>
        <v>263.25339250369422</v>
      </c>
      <c r="I353" s="183">
        <f t="shared" si="57"/>
        <v>-79.2264848185728</v>
      </c>
      <c r="J353" s="184">
        <f t="shared" si="58"/>
        <v>-47799.144283647373</v>
      </c>
      <c r="K353" s="51" t="str">
        <f t="shared" si="62"/>
        <v/>
      </c>
      <c r="L353" s="48"/>
    </row>
    <row r="354" spans="1:12" x14ac:dyDescent="0.25">
      <c r="A354" s="35">
        <f t="shared" si="59"/>
        <v>337</v>
      </c>
      <c r="B354" s="182">
        <f t="shared" si="60"/>
        <v>55154</v>
      </c>
      <c r="C354" s="183">
        <f t="shared" si="61"/>
        <v>-47799.144283647373</v>
      </c>
      <c r="D354" s="183">
        <f t="shared" si="53"/>
        <v>184.02690768512142</v>
      </c>
      <c r="E354" s="183">
        <f t="shared" si="54"/>
        <v>0</v>
      </c>
      <c r="F354" s="227"/>
      <c r="G354" s="183">
        <f t="shared" si="55"/>
        <v>184.02690768512142</v>
      </c>
      <c r="H354" s="183">
        <f t="shared" si="56"/>
        <v>263.69214815786705</v>
      </c>
      <c r="I354" s="183">
        <f t="shared" si="57"/>
        <v>-79.665240472745623</v>
      </c>
      <c r="J354" s="184">
        <f t="shared" si="58"/>
        <v>-48062.836431805241</v>
      </c>
      <c r="K354" s="51" t="str">
        <f t="shared" si="62"/>
        <v/>
      </c>
      <c r="L354" s="48"/>
    </row>
    <row r="355" spans="1:12" x14ac:dyDescent="0.25">
      <c r="A355" s="35">
        <f t="shared" si="59"/>
        <v>338</v>
      </c>
      <c r="B355" s="182">
        <f t="shared" si="60"/>
        <v>55185</v>
      </c>
      <c r="C355" s="183">
        <f t="shared" si="61"/>
        <v>-48062.836431805241</v>
      </c>
      <c r="D355" s="183">
        <f t="shared" si="53"/>
        <v>184.02690768512142</v>
      </c>
      <c r="E355" s="183">
        <f t="shared" si="54"/>
        <v>0</v>
      </c>
      <c r="F355" s="227"/>
      <c r="G355" s="183">
        <f t="shared" si="55"/>
        <v>184.02690768512142</v>
      </c>
      <c r="H355" s="183">
        <f t="shared" si="56"/>
        <v>264.13163507146351</v>
      </c>
      <c r="I355" s="183">
        <f t="shared" si="57"/>
        <v>-80.104727386342077</v>
      </c>
      <c r="J355" s="184">
        <f t="shared" si="58"/>
        <v>-48326.968066876703</v>
      </c>
      <c r="K355" s="51" t="str">
        <f t="shared" si="62"/>
        <v/>
      </c>
      <c r="L355" s="48"/>
    </row>
    <row r="356" spans="1:12" x14ac:dyDescent="0.25">
      <c r="A356" s="35">
        <f t="shared" si="59"/>
        <v>339</v>
      </c>
      <c r="B356" s="182">
        <f t="shared" si="60"/>
        <v>55213</v>
      </c>
      <c r="C356" s="183">
        <f t="shared" si="61"/>
        <v>-48326.968066876703</v>
      </c>
      <c r="D356" s="183">
        <f t="shared" si="53"/>
        <v>184.02690768512142</v>
      </c>
      <c r="E356" s="183">
        <f t="shared" si="54"/>
        <v>0</v>
      </c>
      <c r="F356" s="227"/>
      <c r="G356" s="183">
        <f t="shared" si="55"/>
        <v>184.02690768512142</v>
      </c>
      <c r="H356" s="183">
        <f t="shared" si="56"/>
        <v>264.57185446324922</v>
      </c>
      <c r="I356" s="183">
        <f t="shared" si="57"/>
        <v>-80.544946778127837</v>
      </c>
      <c r="J356" s="184">
        <f t="shared" si="58"/>
        <v>-48591.539921339951</v>
      </c>
      <c r="K356" s="51" t="str">
        <f t="shared" si="62"/>
        <v/>
      </c>
      <c r="L356" s="48"/>
    </row>
    <row r="357" spans="1:12" x14ac:dyDescent="0.25">
      <c r="A357" s="35">
        <f t="shared" si="59"/>
        <v>340</v>
      </c>
      <c r="B357" s="182">
        <f t="shared" si="60"/>
        <v>55244</v>
      </c>
      <c r="C357" s="183">
        <f t="shared" si="61"/>
        <v>-48591.539921339951</v>
      </c>
      <c r="D357" s="183">
        <f t="shared" si="53"/>
        <v>184.02690768512142</v>
      </c>
      <c r="E357" s="183">
        <f t="shared" si="54"/>
        <v>0</v>
      </c>
      <c r="F357" s="227"/>
      <c r="G357" s="183">
        <f t="shared" si="55"/>
        <v>184.02690768512142</v>
      </c>
      <c r="H357" s="183">
        <f t="shared" si="56"/>
        <v>265.01280755402132</v>
      </c>
      <c r="I357" s="183">
        <f t="shared" si="57"/>
        <v>-80.985899868899921</v>
      </c>
      <c r="J357" s="184">
        <f t="shared" si="58"/>
        <v>-48856.55272889397</v>
      </c>
      <c r="K357" s="51" t="str">
        <f t="shared" si="62"/>
        <v/>
      </c>
      <c r="L357" s="48"/>
    </row>
    <row r="358" spans="1:12" x14ac:dyDescent="0.25">
      <c r="A358" s="35">
        <f t="shared" si="59"/>
        <v>341</v>
      </c>
      <c r="B358" s="182">
        <f t="shared" si="60"/>
        <v>55274</v>
      </c>
      <c r="C358" s="183">
        <f t="shared" si="61"/>
        <v>-48856.55272889397</v>
      </c>
      <c r="D358" s="183">
        <f t="shared" si="53"/>
        <v>184.02690768512142</v>
      </c>
      <c r="E358" s="183">
        <f t="shared" si="54"/>
        <v>0</v>
      </c>
      <c r="F358" s="227"/>
      <c r="G358" s="183">
        <f t="shared" si="55"/>
        <v>184.02690768512142</v>
      </c>
      <c r="H358" s="183">
        <f t="shared" si="56"/>
        <v>265.4544955666114</v>
      </c>
      <c r="I358" s="183">
        <f t="shared" si="57"/>
        <v>-81.427587881489956</v>
      </c>
      <c r="J358" s="184">
        <f t="shared" si="58"/>
        <v>-49122.007224460584</v>
      </c>
      <c r="K358" s="51" t="str">
        <f t="shared" si="62"/>
        <v/>
      </c>
      <c r="L358" s="48"/>
    </row>
    <row r="359" spans="1:12" x14ac:dyDescent="0.25">
      <c r="A359" s="35">
        <f t="shared" si="59"/>
        <v>342</v>
      </c>
      <c r="B359" s="182">
        <f t="shared" si="60"/>
        <v>55305</v>
      </c>
      <c r="C359" s="183">
        <f t="shared" si="61"/>
        <v>-49122.007224460584</v>
      </c>
      <c r="D359" s="183">
        <f t="shared" si="53"/>
        <v>184.02690768512142</v>
      </c>
      <c r="E359" s="183">
        <f t="shared" si="54"/>
        <v>0</v>
      </c>
      <c r="F359" s="227"/>
      <c r="G359" s="183">
        <f t="shared" si="55"/>
        <v>184.02690768512142</v>
      </c>
      <c r="H359" s="183">
        <f t="shared" si="56"/>
        <v>265.89691972588906</v>
      </c>
      <c r="I359" s="183">
        <f t="shared" si="57"/>
        <v>-81.870012040767634</v>
      </c>
      <c r="J359" s="184">
        <f t="shared" si="58"/>
        <v>-49387.904144186476</v>
      </c>
      <c r="K359" s="51" t="str">
        <f t="shared" si="62"/>
        <v/>
      </c>
      <c r="L359" s="48"/>
    </row>
    <row r="360" spans="1:12" x14ac:dyDescent="0.25">
      <c r="A360" s="35">
        <f t="shared" si="59"/>
        <v>343</v>
      </c>
      <c r="B360" s="182">
        <f t="shared" si="60"/>
        <v>55335</v>
      </c>
      <c r="C360" s="183">
        <f t="shared" si="61"/>
        <v>-49387.904144186476</v>
      </c>
      <c r="D360" s="183">
        <f t="shared" si="53"/>
        <v>184.02690768512142</v>
      </c>
      <c r="E360" s="183">
        <f t="shared" si="54"/>
        <v>0</v>
      </c>
      <c r="F360" s="227"/>
      <c r="G360" s="183">
        <f t="shared" si="55"/>
        <v>184.02690768512142</v>
      </c>
      <c r="H360" s="183">
        <f t="shared" si="56"/>
        <v>266.34008125876557</v>
      </c>
      <c r="I360" s="183">
        <f t="shared" si="57"/>
        <v>-82.313173573644136</v>
      </c>
      <c r="J360" s="184">
        <f t="shared" si="58"/>
        <v>-49654.24422544524</v>
      </c>
      <c r="K360" s="51" t="str">
        <f t="shared" si="62"/>
        <v/>
      </c>
      <c r="L360" s="48"/>
    </row>
    <row r="361" spans="1:12" x14ac:dyDescent="0.25">
      <c r="A361" s="35">
        <f t="shared" si="59"/>
        <v>344</v>
      </c>
      <c r="B361" s="182">
        <f t="shared" si="60"/>
        <v>55366</v>
      </c>
      <c r="C361" s="183">
        <f t="shared" si="61"/>
        <v>-49654.24422544524</v>
      </c>
      <c r="D361" s="183">
        <f t="shared" si="53"/>
        <v>184.02690768512142</v>
      </c>
      <c r="E361" s="183">
        <f t="shared" si="54"/>
        <v>0</v>
      </c>
      <c r="F361" s="227"/>
      <c r="G361" s="183">
        <f t="shared" si="55"/>
        <v>184.02690768512142</v>
      </c>
      <c r="H361" s="183">
        <f t="shared" si="56"/>
        <v>266.78398139419681</v>
      </c>
      <c r="I361" s="183">
        <f t="shared" si="57"/>
        <v>-82.757073709075399</v>
      </c>
      <c r="J361" s="184">
        <f t="shared" si="58"/>
        <v>-49921.028206839437</v>
      </c>
      <c r="K361" s="51" t="str">
        <f t="shared" si="62"/>
        <v/>
      </c>
      <c r="L361" s="48"/>
    </row>
    <row r="362" spans="1:12" x14ac:dyDescent="0.25">
      <c r="A362" s="35">
        <f t="shared" si="59"/>
        <v>345</v>
      </c>
      <c r="B362" s="182">
        <f t="shared" si="60"/>
        <v>55397</v>
      </c>
      <c r="C362" s="183">
        <f t="shared" si="61"/>
        <v>-49921.028206839437</v>
      </c>
      <c r="D362" s="183">
        <f t="shared" si="53"/>
        <v>184.02690768512142</v>
      </c>
      <c r="E362" s="183">
        <f t="shared" si="54"/>
        <v>0</v>
      </c>
      <c r="F362" s="227"/>
      <c r="G362" s="183">
        <f t="shared" si="55"/>
        <v>184.02690768512142</v>
      </c>
      <c r="H362" s="183">
        <f t="shared" si="56"/>
        <v>267.22862136318713</v>
      </c>
      <c r="I362" s="183">
        <f t="shared" si="57"/>
        <v>-83.20171367806573</v>
      </c>
      <c r="J362" s="184">
        <f t="shared" si="58"/>
        <v>-50188.256828202626</v>
      </c>
      <c r="K362" s="51" t="str">
        <f t="shared" si="62"/>
        <v/>
      </c>
      <c r="L362" s="48"/>
    </row>
    <row r="363" spans="1:12" x14ac:dyDescent="0.25">
      <c r="A363" s="35">
        <f t="shared" si="59"/>
        <v>346</v>
      </c>
      <c r="B363" s="182">
        <f t="shared" si="60"/>
        <v>55427</v>
      </c>
      <c r="C363" s="183">
        <f t="shared" si="61"/>
        <v>-50188.256828202626</v>
      </c>
      <c r="D363" s="183">
        <f t="shared" si="53"/>
        <v>184.02690768512142</v>
      </c>
      <c r="E363" s="183">
        <f t="shared" si="54"/>
        <v>0</v>
      </c>
      <c r="F363" s="227"/>
      <c r="G363" s="183">
        <f t="shared" si="55"/>
        <v>184.02690768512142</v>
      </c>
      <c r="H363" s="183">
        <f t="shared" si="56"/>
        <v>267.67400239879248</v>
      </c>
      <c r="I363" s="183">
        <f t="shared" si="57"/>
        <v>-83.647094713671052</v>
      </c>
      <c r="J363" s="184">
        <f t="shared" si="58"/>
        <v>-50455.930830601421</v>
      </c>
      <c r="K363" s="51" t="str">
        <f t="shared" si="62"/>
        <v/>
      </c>
      <c r="L363" s="48"/>
    </row>
    <row r="364" spans="1:12" x14ac:dyDescent="0.25">
      <c r="A364" s="35">
        <f t="shared" si="59"/>
        <v>347</v>
      </c>
      <c r="B364" s="182">
        <f t="shared" si="60"/>
        <v>55458</v>
      </c>
      <c r="C364" s="183">
        <f t="shared" si="61"/>
        <v>-50455.930830601421</v>
      </c>
      <c r="D364" s="183">
        <f t="shared" si="53"/>
        <v>184.02690768512142</v>
      </c>
      <c r="E364" s="183">
        <f t="shared" si="54"/>
        <v>0</v>
      </c>
      <c r="F364" s="227"/>
      <c r="G364" s="183">
        <f t="shared" si="55"/>
        <v>184.02690768512142</v>
      </c>
      <c r="H364" s="183">
        <f t="shared" si="56"/>
        <v>268.12012573612378</v>
      </c>
      <c r="I364" s="183">
        <f t="shared" si="57"/>
        <v>-84.093218051002367</v>
      </c>
      <c r="J364" s="184">
        <f t="shared" si="58"/>
        <v>-50724.050956337545</v>
      </c>
      <c r="K364" s="51" t="str">
        <f t="shared" si="62"/>
        <v/>
      </c>
      <c r="L364" s="48"/>
    </row>
    <row r="365" spans="1:12" x14ac:dyDescent="0.25">
      <c r="A365" s="35">
        <f t="shared" si="59"/>
        <v>348</v>
      </c>
      <c r="B365" s="182">
        <f t="shared" si="60"/>
        <v>55488</v>
      </c>
      <c r="C365" s="183">
        <f t="shared" si="61"/>
        <v>-50724.050956337545</v>
      </c>
      <c r="D365" s="183">
        <f t="shared" si="53"/>
        <v>184.02690768512142</v>
      </c>
      <c r="E365" s="183">
        <f t="shared" si="54"/>
        <v>0</v>
      </c>
      <c r="F365" s="227"/>
      <c r="G365" s="183">
        <f t="shared" si="55"/>
        <v>184.02690768512142</v>
      </c>
      <c r="H365" s="183">
        <f t="shared" si="56"/>
        <v>268.56699261235065</v>
      </c>
      <c r="I365" s="183">
        <f t="shared" si="57"/>
        <v>-84.540084927229245</v>
      </c>
      <c r="J365" s="184">
        <f t="shared" si="58"/>
        <v>-50992.617948949897</v>
      </c>
      <c r="K365" s="51" t="str">
        <f t="shared" si="62"/>
        <v/>
      </c>
      <c r="L365" s="48"/>
    </row>
    <row r="366" spans="1:12" x14ac:dyDescent="0.25">
      <c r="A366" s="35">
        <f t="shared" si="59"/>
        <v>349</v>
      </c>
      <c r="B366" s="182">
        <f t="shared" si="60"/>
        <v>55519</v>
      </c>
      <c r="C366" s="183">
        <f t="shared" si="61"/>
        <v>-50992.617948949897</v>
      </c>
      <c r="D366" s="183">
        <f t="shared" si="53"/>
        <v>184.02690768512142</v>
      </c>
      <c r="E366" s="183">
        <f t="shared" si="54"/>
        <v>0</v>
      </c>
      <c r="F366" s="227"/>
      <c r="G366" s="183">
        <f t="shared" si="55"/>
        <v>184.02690768512142</v>
      </c>
      <c r="H366" s="183">
        <f t="shared" si="56"/>
        <v>269.01460426670457</v>
      </c>
      <c r="I366" s="183">
        <f t="shared" si="57"/>
        <v>-84.987696581583165</v>
      </c>
      <c r="J366" s="184">
        <f t="shared" si="58"/>
        <v>-51261.632553216601</v>
      </c>
      <c r="K366" s="51" t="str">
        <f t="shared" si="62"/>
        <v/>
      </c>
      <c r="L366" s="48"/>
    </row>
    <row r="367" spans="1:12" x14ac:dyDescent="0.25">
      <c r="A367" s="35">
        <f t="shared" si="59"/>
        <v>350</v>
      </c>
      <c r="B367" s="182">
        <f t="shared" si="60"/>
        <v>55550</v>
      </c>
      <c r="C367" s="183">
        <f t="shared" si="61"/>
        <v>-51261.632553216601</v>
      </c>
      <c r="D367" s="183">
        <f t="shared" si="53"/>
        <v>184.02690768512142</v>
      </c>
      <c r="E367" s="183">
        <f t="shared" si="54"/>
        <v>0</v>
      </c>
      <c r="F367" s="227"/>
      <c r="G367" s="183">
        <f t="shared" si="55"/>
        <v>184.02690768512142</v>
      </c>
      <c r="H367" s="183">
        <f t="shared" si="56"/>
        <v>269.46296194048239</v>
      </c>
      <c r="I367" s="183">
        <f t="shared" si="57"/>
        <v>-85.436054255361</v>
      </c>
      <c r="J367" s="184">
        <f t="shared" si="58"/>
        <v>-51531.095515157082</v>
      </c>
      <c r="K367" s="51" t="str">
        <f t="shared" si="62"/>
        <v/>
      </c>
      <c r="L367" s="48"/>
    </row>
    <row r="368" spans="1:12" x14ac:dyDescent="0.25">
      <c r="A368" s="35">
        <f t="shared" si="59"/>
        <v>351</v>
      </c>
      <c r="B368" s="182">
        <f t="shared" si="60"/>
        <v>55579</v>
      </c>
      <c r="C368" s="183">
        <f t="shared" si="61"/>
        <v>-51531.095515157082</v>
      </c>
      <c r="D368" s="183">
        <f t="shared" si="53"/>
        <v>184.02690768512142</v>
      </c>
      <c r="E368" s="183">
        <f t="shared" si="54"/>
        <v>0</v>
      </c>
      <c r="F368" s="227"/>
      <c r="G368" s="183">
        <f t="shared" si="55"/>
        <v>184.02690768512142</v>
      </c>
      <c r="H368" s="183">
        <f t="shared" si="56"/>
        <v>269.91206687704988</v>
      </c>
      <c r="I368" s="183">
        <f t="shared" si="57"/>
        <v>-85.88515919192848</v>
      </c>
      <c r="J368" s="184">
        <f t="shared" si="58"/>
        <v>-51801.00758203413</v>
      </c>
      <c r="K368" s="51" t="str">
        <f t="shared" si="62"/>
        <v/>
      </c>
      <c r="L368" s="48"/>
    </row>
    <row r="369" spans="1:12" x14ac:dyDescent="0.25">
      <c r="A369" s="35">
        <f t="shared" si="59"/>
        <v>352</v>
      </c>
      <c r="B369" s="182">
        <f t="shared" si="60"/>
        <v>55610</v>
      </c>
      <c r="C369" s="183">
        <f t="shared" si="61"/>
        <v>-51801.00758203413</v>
      </c>
      <c r="D369" s="183">
        <f t="shared" si="53"/>
        <v>184.02690768512142</v>
      </c>
      <c r="E369" s="183">
        <f t="shared" si="54"/>
        <v>0</v>
      </c>
      <c r="F369" s="227"/>
      <c r="G369" s="183">
        <f t="shared" si="55"/>
        <v>184.02690768512142</v>
      </c>
      <c r="H369" s="183">
        <f t="shared" si="56"/>
        <v>270.36192032184499</v>
      </c>
      <c r="I369" s="183">
        <f t="shared" si="57"/>
        <v>-86.335012636723548</v>
      </c>
      <c r="J369" s="184">
        <f t="shared" si="58"/>
        <v>-52071.369502355978</v>
      </c>
      <c r="K369" s="51" t="str">
        <f t="shared" si="62"/>
        <v/>
      </c>
      <c r="L369" s="48"/>
    </row>
    <row r="370" spans="1:12" x14ac:dyDescent="0.25">
      <c r="A370" s="35">
        <f t="shared" si="59"/>
        <v>353</v>
      </c>
      <c r="B370" s="182">
        <f t="shared" si="60"/>
        <v>55640</v>
      </c>
      <c r="C370" s="183">
        <f t="shared" si="61"/>
        <v>-52071.369502355978</v>
      </c>
      <c r="D370" s="183">
        <f t="shared" si="53"/>
        <v>184.02690768512142</v>
      </c>
      <c r="E370" s="183">
        <f t="shared" si="54"/>
        <v>0</v>
      </c>
      <c r="F370" s="227"/>
      <c r="G370" s="183">
        <f t="shared" si="55"/>
        <v>184.02690768512142</v>
      </c>
      <c r="H370" s="183">
        <f t="shared" si="56"/>
        <v>270.81252352238141</v>
      </c>
      <c r="I370" s="183">
        <f t="shared" si="57"/>
        <v>-86.785615837259968</v>
      </c>
      <c r="J370" s="184">
        <f t="shared" si="58"/>
        <v>-52342.182025878355</v>
      </c>
      <c r="K370" s="51" t="str">
        <f t="shared" si="62"/>
        <v/>
      </c>
      <c r="L370" s="48"/>
    </row>
    <row r="371" spans="1:12" x14ac:dyDescent="0.25">
      <c r="A371" s="35">
        <f t="shared" si="59"/>
        <v>354</v>
      </c>
      <c r="B371" s="182">
        <f t="shared" si="60"/>
        <v>55671</v>
      </c>
      <c r="C371" s="183">
        <f t="shared" si="61"/>
        <v>-52342.182025878355</v>
      </c>
      <c r="D371" s="183">
        <f t="shared" si="53"/>
        <v>184.02690768512142</v>
      </c>
      <c r="E371" s="183">
        <f t="shared" si="54"/>
        <v>0</v>
      </c>
      <c r="F371" s="227"/>
      <c r="G371" s="183">
        <f t="shared" si="55"/>
        <v>184.02690768512142</v>
      </c>
      <c r="H371" s="183">
        <f t="shared" si="56"/>
        <v>271.263877728252</v>
      </c>
      <c r="I371" s="183">
        <f t="shared" si="57"/>
        <v>-87.236970043130597</v>
      </c>
      <c r="J371" s="184">
        <f t="shared" si="58"/>
        <v>-52613.445903606611</v>
      </c>
      <c r="K371" s="51" t="str">
        <f t="shared" si="62"/>
        <v/>
      </c>
      <c r="L371" s="48"/>
    </row>
    <row r="372" spans="1:12" x14ac:dyDescent="0.25">
      <c r="A372" s="35">
        <f t="shared" si="59"/>
        <v>355</v>
      </c>
      <c r="B372" s="182">
        <f t="shared" si="60"/>
        <v>55701</v>
      </c>
      <c r="C372" s="183">
        <f t="shared" si="61"/>
        <v>-52613.445903606611</v>
      </c>
      <c r="D372" s="183">
        <f t="shared" si="53"/>
        <v>184.02690768512142</v>
      </c>
      <c r="E372" s="183">
        <f t="shared" si="54"/>
        <v>0</v>
      </c>
      <c r="F372" s="227"/>
      <c r="G372" s="183">
        <f t="shared" si="55"/>
        <v>184.02690768512142</v>
      </c>
      <c r="H372" s="183">
        <f t="shared" si="56"/>
        <v>271.71598419113241</v>
      </c>
      <c r="I372" s="183">
        <f t="shared" si="57"/>
        <v>-87.68907650601102</v>
      </c>
      <c r="J372" s="184">
        <f t="shared" si="58"/>
        <v>-52885.161887797745</v>
      </c>
      <c r="K372" s="51" t="str">
        <f t="shared" si="62"/>
        <v/>
      </c>
      <c r="L372" s="48"/>
    </row>
    <row r="373" spans="1:12" x14ac:dyDescent="0.25">
      <c r="A373" s="35">
        <f t="shared" si="59"/>
        <v>356</v>
      </c>
      <c r="B373" s="182">
        <f t="shared" si="60"/>
        <v>55732</v>
      </c>
      <c r="C373" s="183">
        <f t="shared" si="61"/>
        <v>-52885.161887797745</v>
      </c>
      <c r="D373" s="183">
        <f t="shared" si="53"/>
        <v>184.02690768512142</v>
      </c>
      <c r="E373" s="183">
        <f t="shared" si="54"/>
        <v>0</v>
      </c>
      <c r="F373" s="227"/>
      <c r="G373" s="183">
        <f t="shared" si="55"/>
        <v>184.02690768512142</v>
      </c>
      <c r="H373" s="183">
        <f t="shared" si="56"/>
        <v>272.16884416478433</v>
      </c>
      <c r="I373" s="183">
        <f t="shared" si="57"/>
        <v>-88.141936479662903</v>
      </c>
      <c r="J373" s="184">
        <f t="shared" si="58"/>
        <v>-53157.330731962531</v>
      </c>
      <c r="K373" s="51" t="str">
        <f t="shared" si="62"/>
        <v/>
      </c>
      <c r="L373" s="48"/>
    </row>
    <row r="374" spans="1:12" x14ac:dyDescent="0.25">
      <c r="A374" s="35">
        <f t="shared" si="59"/>
        <v>357</v>
      </c>
      <c r="B374" s="182">
        <f t="shared" si="60"/>
        <v>55763</v>
      </c>
      <c r="C374" s="183">
        <f t="shared" si="61"/>
        <v>-53157.330731962531</v>
      </c>
      <c r="D374" s="183">
        <f t="shared" si="53"/>
        <v>184.02690768512142</v>
      </c>
      <c r="E374" s="183">
        <f t="shared" si="54"/>
        <v>0</v>
      </c>
      <c r="F374" s="227"/>
      <c r="G374" s="183">
        <f t="shared" si="55"/>
        <v>184.02690768512142</v>
      </c>
      <c r="H374" s="183">
        <f t="shared" si="56"/>
        <v>272.62245890505898</v>
      </c>
      <c r="I374" s="183">
        <f t="shared" si="57"/>
        <v>-88.595551219937548</v>
      </c>
      <c r="J374" s="184">
        <f t="shared" si="58"/>
        <v>-53429.953190867593</v>
      </c>
      <c r="K374" s="51" t="str">
        <f t="shared" si="62"/>
        <v/>
      </c>
      <c r="L374" s="48"/>
    </row>
    <row r="375" spans="1:12" x14ac:dyDescent="0.25">
      <c r="A375" s="35">
        <f t="shared" si="59"/>
        <v>358</v>
      </c>
      <c r="B375" s="182">
        <f t="shared" si="60"/>
        <v>55793</v>
      </c>
      <c r="C375" s="183">
        <f t="shared" si="61"/>
        <v>-53429.953190867593</v>
      </c>
      <c r="D375" s="183">
        <f t="shared" si="53"/>
        <v>184.02690768512142</v>
      </c>
      <c r="E375" s="183">
        <f t="shared" si="54"/>
        <v>0</v>
      </c>
      <c r="F375" s="227"/>
      <c r="G375" s="183">
        <f t="shared" si="55"/>
        <v>184.02690768512142</v>
      </c>
      <c r="H375" s="183">
        <f t="shared" si="56"/>
        <v>273.07682966990075</v>
      </c>
      <c r="I375" s="183">
        <f t="shared" si="57"/>
        <v>-89.049921984779317</v>
      </c>
      <c r="J375" s="184">
        <f t="shared" si="58"/>
        <v>-53703.030020537495</v>
      </c>
      <c r="K375" s="51" t="str">
        <f t="shared" si="62"/>
        <v/>
      </c>
      <c r="L375" s="48"/>
    </row>
    <row r="376" spans="1:12" x14ac:dyDescent="0.25">
      <c r="A376" s="35">
        <f t="shared" si="59"/>
        <v>359</v>
      </c>
      <c r="B376" s="182">
        <f t="shared" si="60"/>
        <v>55824</v>
      </c>
      <c r="C376" s="183">
        <f t="shared" si="61"/>
        <v>-53703.030020537495</v>
      </c>
      <c r="D376" s="183">
        <f t="shared" si="53"/>
        <v>184.02690768512142</v>
      </c>
      <c r="E376" s="183">
        <f t="shared" si="54"/>
        <v>0</v>
      </c>
      <c r="F376" s="227"/>
      <c r="G376" s="183">
        <f t="shared" si="55"/>
        <v>184.02690768512142</v>
      </c>
      <c r="H376" s="183">
        <f t="shared" si="56"/>
        <v>273.53195771935054</v>
      </c>
      <c r="I376" s="183">
        <f t="shared" si="57"/>
        <v>-89.505050034229157</v>
      </c>
      <c r="J376" s="184">
        <f t="shared" si="58"/>
        <v>-53976.561978256846</v>
      </c>
      <c r="K376" s="51" t="str">
        <f t="shared" si="62"/>
        <v/>
      </c>
      <c r="L376" s="48"/>
    </row>
    <row r="377" spans="1:12" x14ac:dyDescent="0.25">
      <c r="A377" s="35">
        <f t="shared" si="59"/>
        <v>360</v>
      </c>
      <c r="B377" s="182">
        <f t="shared" si="60"/>
        <v>55854</v>
      </c>
      <c r="C377" s="183">
        <f t="shared" si="61"/>
        <v>-53976.561978256846</v>
      </c>
      <c r="D377" s="183">
        <f t="shared" si="53"/>
        <v>184.02690768512142</v>
      </c>
      <c r="E377" s="183">
        <f>IF(Pay_Num&lt;&gt;"",Scheduled_Extra_Payments,"")</f>
        <v>0</v>
      </c>
      <c r="F377" s="227"/>
      <c r="G377" s="183">
        <f t="shared" si="55"/>
        <v>184.02690768512142</v>
      </c>
      <c r="H377" s="183">
        <f t="shared" si="56"/>
        <v>273.98784431554952</v>
      </c>
      <c r="I377" s="183">
        <f t="shared" si="57"/>
        <v>-89.96093663042808</v>
      </c>
      <c r="J377" s="184">
        <f t="shared" si="58"/>
        <v>-54250.549822572393</v>
      </c>
      <c r="K377" s="51" t="str">
        <f t="shared" si="62"/>
        <v/>
      </c>
      <c r="L377" s="48"/>
    </row>
  </sheetData>
  <sheetProtection sheet="1" objects="1" scenarios="1" selectLockedCells="1"/>
  <conditionalFormatting sqref="A18:K377">
    <cfRule type="expression" dxfId="3" priority="11">
      <formula>IF(ROW(A18)&gt;Last_Row,TRUE, FALSE)</formula>
    </cfRule>
    <cfRule type="expression" dxfId="2" priority="12">
      <formula>IF(ROW(A18)=Last_Row,TRUE, FALSE)</formula>
    </cfRule>
  </conditionalFormatting>
  <conditionalFormatting sqref="D14">
    <cfRule type="containsErrors" dxfId="1" priority="13">
      <formula>ISERROR(D14)</formula>
    </cfRule>
  </conditionalFormatting>
  <conditionalFormatting sqref="F18:F377">
    <cfRule type="cellIs" dxfId="0" priority="2" operator="greaterThan">
      <formula>0</formula>
    </cfRule>
  </conditionalFormatting>
  <dataValidations count="7">
    <dataValidation type="decimal" allowBlank="1" showInputMessage="1" showErrorMessage="1" error="Die Berechnung ist auf max. 30 Jahre festgelegt. Geben Sie bitte eine Zahl zwischen 1-30 an." sqref="D6" xr:uid="{00000000-0002-0000-0200-000000000000}">
      <formula1>1</formula1>
      <formula2>30</formula2>
    </dataValidation>
    <dataValidation type="custom" allowBlank="1" showInputMessage="1" showErrorMessage="1" error="Geben Sie bitte eine Zahl ein" sqref="D8" xr:uid="{00000000-0002-0000-0200-000001000000}">
      <formula1>ISNUMBER(D8)</formula1>
    </dataValidation>
    <dataValidation type="custom" allowBlank="1" showInputMessage="1" showErrorMessage="1" error="Geben Sie bitten den Jahreszinssatz an" sqref="D5" xr:uid="{00000000-0002-0000-0200-000002000000}">
      <formula1>ISNUMBER(D5)</formula1>
    </dataValidation>
    <dataValidation type="date" operator="greaterThan" allowBlank="1" showInputMessage="1" showErrorMessage="1" error="ungültiges Datum" sqref="D7" xr:uid="{00000000-0002-0000-0200-000003000000}">
      <formula1>367</formula1>
    </dataValidation>
    <dataValidation type="custom" allowBlank="1" showInputMessage="1" showErrorMessage="1" error="Bitte eine Zahl eingeben" sqref="D4" xr:uid="{00000000-0002-0000-0200-000004000000}">
      <formula1>ISNUMBER(D4)</formula1>
    </dataValidation>
    <dataValidation operator="notEqual" allowBlank="1" showInputMessage="1" error="Inhalt dieser Zelle nicht verändern!" sqref="F14 E18:F72" xr:uid="{44D5C10E-3D75-4C3A-B760-1FB1B5DAB4EB}"/>
    <dataValidation type="whole" errorStyle="information" operator="notEqual" allowBlank="1" showInputMessage="1" showErrorMessage="1" error="Bitte nach" sqref="E73:F367" xr:uid="{D8C33E2D-E5B0-4F5D-95DC-259D7F40ED44}">
      <formula1>0</formula1>
    </dataValidation>
  </dataValidations>
  <pageMargins left="0.78740157480314965" right="0.51181102362204722" top="0.51181102362204722" bottom="0.51181102362204722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D3246-49A2-43CD-AF6E-9C453AF29817}">
  <sheetPr codeName="Tabelle5"/>
  <dimension ref="A1:K52"/>
  <sheetViews>
    <sheetView showGridLines="0" showRowColHeaders="0" zoomScaleNormal="100" workbookViewId="0"/>
  </sheetViews>
  <sheetFormatPr baseColWidth="10" defaultRowHeight="13.2" x14ac:dyDescent="0.25"/>
  <cols>
    <col min="1" max="1" width="185.77734375" customWidth="1"/>
  </cols>
  <sheetData>
    <row r="1" spans="1:11" s="152" customFormat="1" ht="17.399999999999999" x14ac:dyDescent="0.3">
      <c r="A1" s="222" t="s">
        <v>104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16.05" customHeight="1" x14ac:dyDescent="0.25">
      <c r="A2" s="224" t="s">
        <v>172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ht="16.05" customHeight="1" x14ac:dyDescent="0.25">
      <c r="A3" s="224" t="s">
        <v>106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ht="16.05" customHeight="1" x14ac:dyDescent="0.25">
      <c r="A4" s="224" t="s">
        <v>173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</row>
    <row r="5" spans="1:11" ht="16.05" customHeight="1" x14ac:dyDescent="0.25">
      <c r="A5" s="224" t="s">
        <v>174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</row>
    <row r="6" spans="1:11" ht="16.05" customHeight="1" x14ac:dyDescent="0.25">
      <c r="A6" s="224" t="s">
        <v>175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</row>
    <row r="7" spans="1:11" ht="16.05" customHeight="1" x14ac:dyDescent="0.25">
      <c r="A7" s="224" t="s">
        <v>176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</row>
    <row r="8" spans="1:11" ht="16.05" customHeight="1" x14ac:dyDescent="0.25">
      <c r="A8" s="225" t="s">
        <v>108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</row>
    <row r="9" spans="1:11" ht="16.05" customHeight="1" x14ac:dyDescent="0.25">
      <c r="A9" s="224" t="s">
        <v>177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</row>
    <row r="10" spans="1:11" ht="16.05" customHeight="1" x14ac:dyDescent="0.25">
      <c r="A10" s="225" t="s">
        <v>123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3"/>
    </row>
    <row r="11" spans="1:11" ht="16.05" customHeight="1" x14ac:dyDescent="0.25">
      <c r="A11" s="225" t="s">
        <v>127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</row>
    <row r="12" spans="1:11" ht="16.05" customHeight="1" x14ac:dyDescent="0.25">
      <c r="A12" s="224" t="s">
        <v>178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</row>
    <row r="13" spans="1:11" ht="16.05" customHeight="1" x14ac:dyDescent="0.25">
      <c r="A13" s="225" t="s">
        <v>124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</row>
    <row r="14" spans="1:11" ht="16.05" customHeight="1" x14ac:dyDescent="0.25">
      <c r="A14" s="224" t="s">
        <v>179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23"/>
    </row>
    <row r="15" spans="1:11" ht="16.05" customHeight="1" x14ac:dyDescent="0.25">
      <c r="A15" s="224" t="s">
        <v>180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3"/>
    </row>
    <row r="16" spans="1:11" ht="16.05" customHeight="1" x14ac:dyDescent="0.25">
      <c r="A16" s="225" t="s">
        <v>125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</row>
    <row r="17" spans="1:11" ht="16.05" customHeight="1" x14ac:dyDescent="0.25">
      <c r="A17" s="224" t="s">
        <v>181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spans="1:11" ht="16.05" customHeight="1" x14ac:dyDescent="0.25">
      <c r="A18" s="225" t="s">
        <v>128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</row>
    <row r="19" spans="1:11" ht="16.05" customHeight="1" x14ac:dyDescent="0.25">
      <c r="A19" s="225" t="s">
        <v>126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3"/>
    </row>
    <row r="20" spans="1:11" ht="16.05" customHeight="1" x14ac:dyDescent="0.25">
      <c r="A20" s="224" t="s">
        <v>182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3"/>
    </row>
    <row r="21" spans="1:11" ht="16.05" customHeight="1" x14ac:dyDescent="0.25">
      <c r="A21" s="225" t="s">
        <v>130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</row>
    <row r="22" spans="1:11" ht="13.8" x14ac:dyDescent="0.25">
      <c r="A22" s="224" t="s">
        <v>131</v>
      </c>
      <c r="B22" s="223"/>
      <c r="C22" s="223"/>
      <c r="D22" s="223"/>
      <c r="E22" s="223"/>
      <c r="F22" s="223"/>
      <c r="G22" s="223"/>
      <c r="H22" s="223"/>
      <c r="I22" s="223"/>
      <c r="J22" s="223"/>
      <c r="K22" s="223"/>
    </row>
    <row r="23" spans="1:11" ht="13.8" x14ac:dyDescent="0.25">
      <c r="A23" s="224"/>
      <c r="B23" s="223"/>
      <c r="C23" s="223"/>
      <c r="D23" s="223"/>
      <c r="E23" s="223"/>
      <c r="F23" s="223"/>
      <c r="G23" s="223"/>
      <c r="H23" s="223"/>
      <c r="I23" s="223"/>
      <c r="J23" s="223"/>
      <c r="K23" s="223"/>
    </row>
    <row r="24" spans="1:11" ht="13.8" x14ac:dyDescent="0.25">
      <c r="A24" s="224" t="s">
        <v>183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3"/>
    </row>
    <row r="25" spans="1:11" x14ac:dyDescent="0.25">
      <c r="A25" s="223"/>
      <c r="B25" s="223"/>
      <c r="C25" s="223"/>
      <c r="D25" s="223"/>
      <c r="E25" s="223"/>
      <c r="F25" s="223"/>
      <c r="G25" s="223"/>
      <c r="H25" s="223"/>
      <c r="I25" s="223"/>
      <c r="J25" s="223"/>
      <c r="K25" s="223"/>
    </row>
    <row r="26" spans="1:11" x14ac:dyDescent="0.25">
      <c r="A26" s="223"/>
      <c r="B26" s="223"/>
      <c r="C26" s="223"/>
      <c r="D26" s="223"/>
      <c r="E26" s="223"/>
      <c r="F26" s="223"/>
      <c r="G26" s="223"/>
      <c r="H26" s="223"/>
      <c r="I26" s="223"/>
      <c r="J26" s="223"/>
      <c r="K26" s="223"/>
    </row>
    <row r="27" spans="1:11" x14ac:dyDescent="0.25">
      <c r="A27" s="223"/>
      <c r="B27" s="223"/>
      <c r="C27" s="223"/>
      <c r="D27" s="223"/>
      <c r="E27" s="223"/>
      <c r="F27" s="223"/>
      <c r="G27" s="223"/>
      <c r="H27" s="223"/>
      <c r="I27" s="223"/>
      <c r="J27" s="223"/>
      <c r="K27" s="223"/>
    </row>
    <row r="28" spans="1:11" x14ac:dyDescent="0.25">
      <c r="A28" s="223"/>
      <c r="B28" s="223"/>
      <c r="C28" s="223"/>
      <c r="D28" s="223"/>
      <c r="E28" s="223"/>
      <c r="F28" s="223"/>
      <c r="G28" s="223"/>
      <c r="H28" s="223"/>
      <c r="I28" s="223"/>
      <c r="J28" s="223"/>
      <c r="K28" s="223"/>
    </row>
    <row r="29" spans="1:11" x14ac:dyDescent="0.25">
      <c r="A29" s="223"/>
      <c r="B29" s="223"/>
      <c r="C29" s="223"/>
      <c r="D29" s="223"/>
      <c r="E29" s="223"/>
      <c r="F29" s="223"/>
      <c r="G29" s="223"/>
      <c r="H29" s="223"/>
      <c r="I29" s="223"/>
      <c r="J29" s="223"/>
      <c r="K29" s="223"/>
    </row>
    <row r="30" spans="1:11" x14ac:dyDescent="0.25">
      <c r="A30" s="223"/>
      <c r="B30" s="223"/>
      <c r="C30" s="223"/>
      <c r="D30" s="223"/>
      <c r="E30" s="223"/>
      <c r="F30" s="223"/>
      <c r="G30" s="223"/>
      <c r="H30" s="223"/>
      <c r="I30" s="223"/>
      <c r="J30" s="223"/>
      <c r="K30" s="223"/>
    </row>
    <row r="31" spans="1:11" x14ac:dyDescent="0.25">
      <c r="A31" s="223"/>
      <c r="B31" s="223"/>
      <c r="C31" s="223"/>
      <c r="D31" s="223"/>
      <c r="E31" s="223"/>
      <c r="F31" s="223"/>
      <c r="G31" s="223"/>
      <c r="H31" s="223"/>
      <c r="I31" s="223"/>
      <c r="J31" s="223"/>
      <c r="K31" s="223"/>
    </row>
    <row r="32" spans="1:11" x14ac:dyDescent="0.25">
      <c r="A32" s="223"/>
      <c r="B32" s="223"/>
      <c r="C32" s="223"/>
      <c r="D32" s="223"/>
      <c r="E32" s="223"/>
      <c r="F32" s="223"/>
      <c r="G32" s="223"/>
      <c r="H32" s="223"/>
      <c r="I32" s="223"/>
      <c r="J32" s="223"/>
      <c r="K32" s="223"/>
    </row>
    <row r="33" spans="1:11" x14ac:dyDescent="0.25">
      <c r="A33" s="223"/>
      <c r="B33" s="223"/>
      <c r="C33" s="223"/>
      <c r="D33" s="223"/>
      <c r="E33" s="223"/>
      <c r="F33" s="223"/>
      <c r="G33" s="223"/>
      <c r="H33" s="223"/>
      <c r="I33" s="223"/>
      <c r="J33" s="223"/>
      <c r="K33" s="223"/>
    </row>
    <row r="34" spans="1:11" x14ac:dyDescent="0.25">
      <c r="A34" s="223"/>
      <c r="B34" s="223"/>
      <c r="C34" s="223"/>
      <c r="D34" s="223"/>
      <c r="E34" s="223"/>
      <c r="F34" s="223"/>
      <c r="G34" s="223"/>
      <c r="H34" s="223"/>
      <c r="I34" s="223"/>
      <c r="J34" s="223"/>
      <c r="K34" s="223"/>
    </row>
    <row r="35" spans="1:11" x14ac:dyDescent="0.25">
      <c r="A35" s="223"/>
      <c r="B35" s="223"/>
      <c r="C35" s="223"/>
      <c r="D35" s="223"/>
      <c r="E35" s="223"/>
      <c r="F35" s="223"/>
      <c r="G35" s="223"/>
      <c r="H35" s="223"/>
      <c r="I35" s="223"/>
      <c r="J35" s="223"/>
      <c r="K35" s="223"/>
    </row>
    <row r="36" spans="1:11" x14ac:dyDescent="0.25">
      <c r="A36" s="223"/>
      <c r="B36" s="223"/>
      <c r="C36" s="223"/>
      <c r="D36" s="223"/>
      <c r="E36" s="223"/>
      <c r="F36" s="223"/>
      <c r="G36" s="223"/>
      <c r="H36" s="223"/>
      <c r="I36" s="223"/>
      <c r="J36" s="223"/>
      <c r="K36" s="223"/>
    </row>
    <row r="37" spans="1:11" x14ac:dyDescent="0.25">
      <c r="A37" s="223"/>
      <c r="B37" s="223"/>
      <c r="C37" s="223"/>
      <c r="D37" s="223"/>
      <c r="E37" s="223"/>
      <c r="F37" s="223"/>
      <c r="G37" s="223"/>
      <c r="H37" s="223"/>
      <c r="I37" s="223"/>
      <c r="J37" s="223"/>
      <c r="K37" s="223"/>
    </row>
    <row r="38" spans="1:11" x14ac:dyDescent="0.25">
      <c r="A38" s="223"/>
      <c r="B38" s="223"/>
      <c r="C38" s="223"/>
      <c r="D38" s="223"/>
      <c r="E38" s="223"/>
      <c r="F38" s="223"/>
      <c r="G38" s="223"/>
      <c r="H38" s="223"/>
      <c r="I38" s="223"/>
      <c r="J38" s="223"/>
      <c r="K38" s="223"/>
    </row>
    <row r="39" spans="1:11" x14ac:dyDescent="0.25">
      <c r="A39" s="223"/>
      <c r="B39" s="223"/>
      <c r="C39" s="223"/>
      <c r="D39" s="223"/>
      <c r="E39" s="223"/>
      <c r="F39" s="223"/>
      <c r="G39" s="223"/>
      <c r="H39" s="223"/>
      <c r="I39" s="223"/>
      <c r="J39" s="223"/>
      <c r="K39" s="223"/>
    </row>
    <row r="40" spans="1:11" x14ac:dyDescent="0.25">
      <c r="A40" s="223"/>
      <c r="B40" s="223"/>
      <c r="C40" s="223"/>
      <c r="D40" s="223"/>
      <c r="E40" s="223"/>
      <c r="F40" s="223"/>
      <c r="G40" s="223"/>
      <c r="H40" s="223"/>
      <c r="I40" s="223"/>
      <c r="J40" s="223"/>
      <c r="K40" s="223"/>
    </row>
    <row r="41" spans="1:11" x14ac:dyDescent="0.25">
      <c r="A41" s="223"/>
      <c r="B41" s="223"/>
      <c r="C41" s="223"/>
      <c r="D41" s="223"/>
      <c r="E41" s="223"/>
      <c r="F41" s="223"/>
      <c r="G41" s="223"/>
      <c r="H41" s="223"/>
      <c r="I41" s="223"/>
      <c r="J41" s="223"/>
      <c r="K41" s="223"/>
    </row>
    <row r="42" spans="1:11" x14ac:dyDescent="0.25">
      <c r="A42" s="223"/>
      <c r="B42" s="223"/>
      <c r="C42" s="223"/>
      <c r="D42" s="223"/>
      <c r="E42" s="223"/>
      <c r="F42" s="223"/>
      <c r="G42" s="223"/>
      <c r="H42" s="223"/>
      <c r="I42" s="223"/>
      <c r="J42" s="223"/>
      <c r="K42" s="223"/>
    </row>
    <row r="43" spans="1:11" x14ac:dyDescent="0.25">
      <c r="A43" s="223"/>
      <c r="B43" s="223"/>
      <c r="C43" s="223"/>
      <c r="D43" s="223"/>
      <c r="E43" s="223"/>
      <c r="F43" s="223"/>
      <c r="G43" s="223"/>
      <c r="H43" s="223"/>
      <c r="I43" s="223"/>
      <c r="J43" s="223"/>
      <c r="K43" s="223"/>
    </row>
    <row r="44" spans="1:11" x14ac:dyDescent="0.25">
      <c r="A44" s="223"/>
      <c r="B44" s="223"/>
      <c r="C44" s="223"/>
      <c r="D44" s="223"/>
      <c r="E44" s="223"/>
      <c r="F44" s="223"/>
      <c r="G44" s="223"/>
      <c r="H44" s="223"/>
      <c r="I44" s="223"/>
      <c r="J44" s="223"/>
      <c r="K44" s="223"/>
    </row>
    <row r="45" spans="1:11" x14ac:dyDescent="0.25">
      <c r="A45" s="223"/>
      <c r="B45" s="223"/>
      <c r="C45" s="223"/>
      <c r="D45" s="223"/>
      <c r="E45" s="223"/>
      <c r="F45" s="223"/>
      <c r="G45" s="223"/>
      <c r="H45" s="223"/>
      <c r="I45" s="223"/>
      <c r="J45" s="223"/>
      <c r="K45" s="223"/>
    </row>
    <row r="46" spans="1:11" x14ac:dyDescent="0.25">
      <c r="A46" s="223"/>
      <c r="B46" s="223"/>
      <c r="C46" s="223"/>
      <c r="D46" s="223"/>
      <c r="E46" s="223"/>
      <c r="F46" s="223"/>
      <c r="G46" s="223"/>
      <c r="H46" s="223"/>
      <c r="I46" s="223"/>
      <c r="J46" s="223"/>
      <c r="K46" s="223"/>
    </row>
    <row r="47" spans="1:11" x14ac:dyDescent="0.25">
      <c r="A47" s="223"/>
      <c r="B47" s="223"/>
      <c r="C47" s="223"/>
      <c r="D47" s="223"/>
      <c r="E47" s="223"/>
      <c r="F47" s="223"/>
      <c r="G47" s="223"/>
      <c r="H47" s="223"/>
      <c r="I47" s="223"/>
      <c r="J47" s="223"/>
      <c r="K47" s="223"/>
    </row>
    <row r="48" spans="1:11" x14ac:dyDescent="0.25">
      <c r="A48" s="223"/>
      <c r="B48" s="223"/>
      <c r="C48" s="223"/>
      <c r="D48" s="223"/>
      <c r="E48" s="223"/>
      <c r="F48" s="223"/>
      <c r="G48" s="223"/>
      <c r="H48" s="223"/>
      <c r="I48" s="223"/>
      <c r="J48" s="223"/>
      <c r="K48" s="223"/>
    </row>
    <row r="49" spans="1:11" x14ac:dyDescent="0.25">
      <c r="A49" s="223"/>
      <c r="B49" s="223"/>
      <c r="C49" s="223"/>
      <c r="D49" s="223"/>
      <c r="E49" s="223"/>
      <c r="F49" s="223"/>
      <c r="G49" s="223"/>
      <c r="H49" s="223"/>
      <c r="I49" s="223"/>
      <c r="J49" s="223"/>
      <c r="K49" s="223"/>
    </row>
    <row r="50" spans="1:11" x14ac:dyDescent="0.25">
      <c r="A50" s="223"/>
      <c r="B50" s="223"/>
      <c r="C50" s="223"/>
      <c r="D50" s="223"/>
      <c r="E50" s="223"/>
      <c r="F50" s="223"/>
      <c r="G50" s="223"/>
      <c r="H50" s="223"/>
      <c r="I50" s="223"/>
      <c r="J50" s="223"/>
      <c r="K50" s="223"/>
    </row>
    <row r="51" spans="1:11" x14ac:dyDescent="0.25">
      <c r="A51" s="223"/>
    </row>
    <row r="52" spans="1:11" x14ac:dyDescent="0.25">
      <c r="A52" s="223"/>
    </row>
  </sheetData>
  <sheetProtection sheet="1" objects="1" scenarios="1" selectLockedCells="1" selectUnlockedCells="1"/>
  <pageMargins left="0.7" right="0.7" top="0.78740157499999996" bottom="0.78740157499999996" header="0.3" footer="0.3"/>
  <pageSetup paperSize="9" orientation="portrait" horizontalDpi="4294967294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1">
    <tabColor indexed="10"/>
  </sheetPr>
  <dimension ref="A1:Q175"/>
  <sheetViews>
    <sheetView workbookViewId="0"/>
  </sheetViews>
  <sheetFormatPr baseColWidth="10" defaultColWidth="68.33203125" defaultRowHeight="11.4" x14ac:dyDescent="0.2"/>
  <cols>
    <col min="1" max="1" width="13.88671875" style="67" customWidth="1"/>
    <col min="2" max="2" width="32.77734375" style="67" customWidth="1"/>
    <col min="3" max="3" width="14.44140625" style="67" customWidth="1"/>
    <col min="4" max="4" width="13" style="67" customWidth="1"/>
    <col min="5" max="5" width="17.77734375" style="67" customWidth="1"/>
    <col min="6" max="6" width="29.77734375" style="67" customWidth="1"/>
    <col min="7" max="7" width="15" style="67" customWidth="1"/>
    <col min="8" max="8" width="19" style="67" customWidth="1"/>
    <col min="9" max="9" width="26.77734375" style="67" customWidth="1"/>
    <col min="10" max="10" width="23.33203125" style="67" customWidth="1"/>
    <col min="11" max="11" width="23" style="67" bestFit="1" customWidth="1"/>
    <col min="12" max="12" width="13.109375" style="67" bestFit="1" customWidth="1"/>
    <col min="13" max="13" width="3.77734375" style="67" bestFit="1" customWidth="1"/>
    <col min="14" max="19" width="10.77734375" style="67" customWidth="1"/>
    <col min="20" max="16384" width="68.33203125" style="67"/>
  </cols>
  <sheetData>
    <row r="1" spans="1:17" x14ac:dyDescent="0.2">
      <c r="A1" s="67" t="s">
        <v>10</v>
      </c>
      <c r="E1" s="67" t="s">
        <v>13</v>
      </c>
      <c r="H1" s="91" t="s">
        <v>116</v>
      </c>
    </row>
    <row r="2" spans="1:17" ht="12" x14ac:dyDescent="0.25">
      <c r="A2" s="67" t="s">
        <v>0</v>
      </c>
      <c r="B2" s="67" t="s">
        <v>6</v>
      </c>
      <c r="C2" s="92">
        <f>Eingabe!$G$8/$L$20</f>
        <v>0.05</v>
      </c>
      <c r="E2" s="67" t="s">
        <v>0</v>
      </c>
      <c r="F2" s="67" t="s">
        <v>6</v>
      </c>
      <c r="G2" s="92">
        <f>Eingabe!$G$8/$L$20</f>
        <v>0.05</v>
      </c>
      <c r="H2" s="90">
        <f>COUNTBLANK(Eingabe!G8:G12)</f>
        <v>1</v>
      </c>
      <c r="I2" s="176"/>
      <c r="N2" s="93"/>
      <c r="O2" s="94"/>
      <c r="P2" s="93"/>
      <c r="Q2" s="95"/>
    </row>
    <row r="3" spans="1:17" x14ac:dyDescent="0.2">
      <c r="A3" s="67" t="s">
        <v>1</v>
      </c>
      <c r="B3" s="67" t="s">
        <v>7</v>
      </c>
      <c r="C3" s="96">
        <f>IF($I$11=2,Eingabe!$G$9/$M$20,Eingabe!$G$9*$M$20)</f>
        <v>10</v>
      </c>
      <c r="E3" s="67" t="s">
        <v>1</v>
      </c>
      <c r="F3" s="67" t="s">
        <v>7</v>
      </c>
      <c r="G3" s="96">
        <f>IF($I$11=2,Eingabe!$G$9/$M$20,Eingabe!$G$9*$M$20)</f>
        <v>10</v>
      </c>
      <c r="H3" s="208"/>
      <c r="I3" s="97"/>
      <c r="J3" s="97"/>
      <c r="K3" s="97"/>
      <c r="L3" s="97"/>
    </row>
    <row r="4" spans="1:17" ht="12" x14ac:dyDescent="0.25">
      <c r="A4" s="67" t="s">
        <v>2</v>
      </c>
      <c r="B4" s="67" t="s">
        <v>8</v>
      </c>
      <c r="C4" s="97">
        <f>-Eingabe!$G$10</f>
        <v>-5000</v>
      </c>
      <c r="E4" s="67" t="s">
        <v>4</v>
      </c>
      <c r="F4" s="67" t="s">
        <v>5</v>
      </c>
      <c r="G4" s="97">
        <f>-Eingabe!$G$11</f>
        <v>-10000</v>
      </c>
      <c r="H4" s="206"/>
      <c r="I4" s="97"/>
      <c r="J4" s="97"/>
      <c r="K4" s="97"/>
      <c r="L4" s="97"/>
    </row>
    <row r="5" spans="1:17" ht="12" x14ac:dyDescent="0.25">
      <c r="A5" s="67" t="s">
        <v>4</v>
      </c>
      <c r="B5" s="67" t="s">
        <v>5</v>
      </c>
      <c r="C5" s="97">
        <f>-Eingabe!$G$11</f>
        <v>-10000</v>
      </c>
      <c r="E5" s="67" t="s">
        <v>12</v>
      </c>
      <c r="F5" s="67" t="s">
        <v>15</v>
      </c>
      <c r="G5" s="98">
        <f>Eingabe!$G$12</f>
        <v>0</v>
      </c>
      <c r="H5" s="207"/>
      <c r="I5" s="176"/>
    </row>
    <row r="6" spans="1:17" ht="12" x14ac:dyDescent="0.25">
      <c r="A6" s="67" t="s">
        <v>3</v>
      </c>
      <c r="B6" s="67" t="s">
        <v>9</v>
      </c>
      <c r="C6" s="67">
        <f>Eingabe!$G$13</f>
        <v>0</v>
      </c>
      <c r="E6" s="67" t="s">
        <v>3</v>
      </c>
      <c r="F6" s="67" t="s">
        <v>9</v>
      </c>
      <c r="G6" s="67">
        <f>Eingabe!$G$13</f>
        <v>0</v>
      </c>
      <c r="H6" s="120"/>
      <c r="I6" s="176"/>
    </row>
    <row r="7" spans="1:17" ht="12" x14ac:dyDescent="0.25">
      <c r="A7" s="67" t="s">
        <v>12</v>
      </c>
      <c r="B7" s="67" t="s">
        <v>14</v>
      </c>
      <c r="C7" s="99">
        <f>FV(C2,C3,C4,C5,C6)</f>
        <v>79178.408945518575</v>
      </c>
      <c r="E7" s="67" t="s">
        <v>2</v>
      </c>
      <c r="F7" s="67" t="s">
        <v>17</v>
      </c>
      <c r="G7" s="100">
        <f>-PMT(G2,G3,G4,G5,G6)</f>
        <v>-1295.0457496545666</v>
      </c>
      <c r="I7" s="176"/>
    </row>
    <row r="8" spans="1:17" ht="12" x14ac:dyDescent="0.25">
      <c r="H8" s="101" t="s">
        <v>7</v>
      </c>
      <c r="I8" s="176"/>
    </row>
    <row r="9" spans="1:17" ht="12" x14ac:dyDescent="0.25">
      <c r="H9" s="97" t="s">
        <v>62</v>
      </c>
      <c r="I9" s="177">
        <v>1</v>
      </c>
    </row>
    <row r="10" spans="1:17" ht="12" x14ac:dyDescent="0.25">
      <c r="H10" s="67" t="s">
        <v>63</v>
      </c>
      <c r="I10" s="101">
        <v>2</v>
      </c>
    </row>
    <row r="11" spans="1:17" ht="12" x14ac:dyDescent="0.25">
      <c r="A11" s="67" t="s">
        <v>11</v>
      </c>
      <c r="E11" s="67" t="s">
        <v>18</v>
      </c>
      <c r="H11" s="146" t="s">
        <v>186</v>
      </c>
      <c r="I11" s="177">
        <v>1</v>
      </c>
      <c r="J11" s="67" t="str">
        <f>IF(I11=1,"Jahre","Monate")</f>
        <v>Jahre</v>
      </c>
    </row>
    <row r="12" spans="1:17" ht="12" x14ac:dyDescent="0.25">
      <c r="A12" s="67" t="s">
        <v>0</v>
      </c>
      <c r="B12" s="67" t="s">
        <v>6</v>
      </c>
      <c r="C12" s="92">
        <f>Eingabe!$G$8/$L$20</f>
        <v>0.05</v>
      </c>
      <c r="E12" s="67" t="s">
        <v>1</v>
      </c>
      <c r="F12" s="67" t="s">
        <v>7</v>
      </c>
      <c r="G12" s="96">
        <f>IF($I$11=2,Eingabe!$G$9/$M$20,Eingabe!$G$9*$M$20)</f>
        <v>10</v>
      </c>
      <c r="H12" s="102"/>
      <c r="I12" s="176"/>
    </row>
    <row r="13" spans="1:17" ht="12" x14ac:dyDescent="0.25">
      <c r="A13" s="67" t="s">
        <v>1</v>
      </c>
      <c r="B13" s="67" t="s">
        <v>7</v>
      </c>
      <c r="C13" s="96">
        <f>IF($I$11=2,Eingabe!$G$9/$M$20,Eingabe!$G$9*$M$20)</f>
        <v>10</v>
      </c>
      <c r="E13" s="67" t="s">
        <v>2</v>
      </c>
      <c r="F13" s="67" t="s">
        <v>8</v>
      </c>
      <c r="G13" s="96">
        <f>-Eingabe!$G$10</f>
        <v>-5000</v>
      </c>
      <c r="I13" s="176"/>
      <c r="L13" s="67" t="s">
        <v>53</v>
      </c>
      <c r="M13" s="95"/>
    </row>
    <row r="14" spans="1:17" ht="12" x14ac:dyDescent="0.25">
      <c r="A14" s="67" t="s">
        <v>2</v>
      </c>
      <c r="B14" s="67" t="s">
        <v>8</v>
      </c>
      <c r="C14" s="97">
        <f>-Eingabe!$G$10</f>
        <v>-5000</v>
      </c>
      <c r="E14" s="67" t="s">
        <v>4</v>
      </c>
      <c r="F14" s="67" t="s">
        <v>5</v>
      </c>
      <c r="G14" s="96">
        <f>-Eingabe!$G$11</f>
        <v>-10000</v>
      </c>
      <c r="H14" s="101" t="s">
        <v>55</v>
      </c>
      <c r="I14" s="101"/>
      <c r="L14" s="67" t="s">
        <v>0</v>
      </c>
      <c r="M14" s="67" t="s">
        <v>72</v>
      </c>
    </row>
    <row r="15" spans="1:17" ht="12" x14ac:dyDescent="0.25">
      <c r="A15" s="67" t="s">
        <v>12</v>
      </c>
      <c r="B15" s="67" t="s">
        <v>15</v>
      </c>
      <c r="C15" s="97">
        <f>Eingabe!$G$12</f>
        <v>0</v>
      </c>
      <c r="E15" s="67" t="s">
        <v>12</v>
      </c>
      <c r="F15" s="67" t="s">
        <v>15</v>
      </c>
      <c r="G15" s="96">
        <f>Eingabe!$G$12</f>
        <v>0</v>
      </c>
      <c r="H15" s="103" t="s">
        <v>56</v>
      </c>
      <c r="I15" s="101">
        <v>1</v>
      </c>
      <c r="J15" s="67">
        <v>1</v>
      </c>
      <c r="L15" s="103">
        <v>12</v>
      </c>
      <c r="M15" s="103">
        <f>IF($I$11=2,1,12)</f>
        <v>12</v>
      </c>
    </row>
    <row r="16" spans="1:17" ht="12" x14ac:dyDescent="0.25">
      <c r="A16" s="67" t="s">
        <v>3</v>
      </c>
      <c r="B16" s="67" t="s">
        <v>9</v>
      </c>
      <c r="C16" s="67">
        <f>Eingabe!$G$13</f>
        <v>0</v>
      </c>
      <c r="E16" s="67" t="s">
        <v>3</v>
      </c>
      <c r="F16" s="67" t="s">
        <v>9</v>
      </c>
      <c r="G16" s="96">
        <f>Eingabe!$G$13</f>
        <v>0</v>
      </c>
      <c r="H16" s="104" t="s">
        <v>57</v>
      </c>
      <c r="I16" s="101">
        <v>2</v>
      </c>
      <c r="J16" s="67">
        <v>3</v>
      </c>
      <c r="L16" s="103">
        <v>4</v>
      </c>
      <c r="M16" s="103">
        <f>IF($I$11=2,3,4)</f>
        <v>4</v>
      </c>
    </row>
    <row r="17" spans="1:13" ht="12" x14ac:dyDescent="0.25">
      <c r="A17" s="67" t="s">
        <v>4</v>
      </c>
      <c r="B17" s="67" t="s">
        <v>16</v>
      </c>
      <c r="C17" s="99">
        <f>-PV(C12,C13,C14,C15,C16)</f>
        <v>-38608.674645924068</v>
      </c>
      <c r="E17" s="67" t="s">
        <v>0</v>
      </c>
      <c r="F17" s="67" t="s">
        <v>6</v>
      </c>
      <c r="G17" s="105" t="e">
        <f>RATE(G12,G13,G14,G15,G16)</f>
        <v>#NUM!</v>
      </c>
      <c r="H17" s="103" t="s">
        <v>58</v>
      </c>
      <c r="I17" s="101">
        <v>3</v>
      </c>
      <c r="J17" s="67">
        <v>6</v>
      </c>
      <c r="L17" s="103">
        <v>2</v>
      </c>
      <c r="M17" s="103">
        <f>IF($I$11=2,6,2)</f>
        <v>2</v>
      </c>
    </row>
    <row r="18" spans="1:13" ht="12" x14ac:dyDescent="0.25">
      <c r="H18" s="103" t="s">
        <v>59</v>
      </c>
      <c r="I18" s="101">
        <v>4</v>
      </c>
      <c r="J18" s="67">
        <v>12</v>
      </c>
      <c r="L18" s="103">
        <v>1</v>
      </c>
      <c r="M18" s="103">
        <f>IF($I$11=2,12,1)</f>
        <v>1</v>
      </c>
    </row>
    <row r="19" spans="1:13" ht="12" x14ac:dyDescent="0.25">
      <c r="I19" s="176"/>
      <c r="K19" s="67" t="str">
        <f>IF(J21=12,"monatlich",(IF(J21=3,"¼-jährlich",IF(J21=6,"½-jährlich","jährlich"))))</f>
        <v>jährlich</v>
      </c>
    </row>
    <row r="20" spans="1:13" ht="12" x14ac:dyDescent="0.25">
      <c r="H20" s="101"/>
      <c r="I20" s="101">
        <v>4</v>
      </c>
      <c r="J20" s="67" t="str">
        <f>IF(I20=1,"monatlich",(IF(I20=2,"¼-jährlich",IF(I20=3,"½-jährlich","jährlich"))))</f>
        <v>jährlich</v>
      </c>
      <c r="K20" s="67" t="str">
        <f>IF(I20=1,"Zahlung (Tilgung+Zins) monatlich",IF(I20=2,"Zahlung (Tilgung+Zins) ¼-jährlich",IF(I20=3,"Zahlung (Tilgung+Zins) ½-jährlich","Zahlung (Tilgung+Zins) jährlich")))</f>
        <v>Zahlung (Tilgung+Zins) jährlich</v>
      </c>
      <c r="L20" s="106">
        <f>IF(I20=1,L15,IF(I20=2,L16,IF(I20=3,L17,L18)))</f>
        <v>1</v>
      </c>
      <c r="M20" s="107">
        <f>IF(I20=1,M15,IF(I20=2,M16,IF(I20=3,M17,M18)))</f>
        <v>1</v>
      </c>
    </row>
    <row r="21" spans="1:13" x14ac:dyDescent="0.2">
      <c r="A21" s="67" t="s">
        <v>19</v>
      </c>
    </row>
    <row r="22" spans="1:13" ht="12" x14ac:dyDescent="0.25">
      <c r="A22" s="67" t="s">
        <v>0</v>
      </c>
      <c r="B22" s="67" t="s">
        <v>6</v>
      </c>
      <c r="C22" s="92">
        <f>Eingabe!$G$8/$L$20</f>
        <v>0.05</v>
      </c>
      <c r="E22" s="92"/>
      <c r="J22" s="178"/>
    </row>
    <row r="23" spans="1:13" ht="12" x14ac:dyDescent="0.25">
      <c r="A23" s="67" t="s">
        <v>2</v>
      </c>
      <c r="B23" s="67" t="s">
        <v>8</v>
      </c>
      <c r="C23" s="97">
        <f>-Eingabe!$G$10</f>
        <v>-5000</v>
      </c>
      <c r="E23" s="96"/>
      <c r="H23" s="67" t="s">
        <v>64</v>
      </c>
      <c r="I23" s="101"/>
    </row>
    <row r="24" spans="1:13" ht="12" x14ac:dyDescent="0.25">
      <c r="A24" s="67" t="s">
        <v>4</v>
      </c>
      <c r="B24" s="67" t="s">
        <v>5</v>
      </c>
      <c r="C24" s="97">
        <f>-Eingabe!$G$11</f>
        <v>-10000</v>
      </c>
      <c r="E24" s="97"/>
      <c r="H24" s="67" t="s">
        <v>7</v>
      </c>
      <c r="I24" s="101"/>
      <c r="J24" s="67" t="s">
        <v>65</v>
      </c>
    </row>
    <row r="25" spans="1:13" ht="12" x14ac:dyDescent="0.25">
      <c r="A25" s="67" t="s">
        <v>12</v>
      </c>
      <c r="B25" s="67" t="s">
        <v>15</v>
      </c>
      <c r="C25" s="98">
        <f>Eingabe!$G$12</f>
        <v>0</v>
      </c>
      <c r="E25" s="97"/>
      <c r="H25" s="67" t="s">
        <v>60</v>
      </c>
      <c r="I25" s="101"/>
      <c r="J25" s="67" t="s">
        <v>66</v>
      </c>
      <c r="K25" s="67" t="s">
        <v>67</v>
      </c>
    </row>
    <row r="26" spans="1:13" ht="12" x14ac:dyDescent="0.25">
      <c r="A26" s="67" t="s">
        <v>3</v>
      </c>
      <c r="B26" s="67" t="s">
        <v>9</v>
      </c>
      <c r="C26" s="67">
        <f>Eingabe!$G$13</f>
        <v>0</v>
      </c>
      <c r="H26" s="67" t="s">
        <v>60</v>
      </c>
      <c r="I26" s="101"/>
      <c r="J26" s="67" t="s">
        <v>68</v>
      </c>
      <c r="K26" s="67" t="s">
        <v>67</v>
      </c>
    </row>
    <row r="27" spans="1:13" ht="12" x14ac:dyDescent="0.25">
      <c r="A27" s="67" t="s">
        <v>1</v>
      </c>
      <c r="B27" s="67" t="s">
        <v>7</v>
      </c>
      <c r="C27" s="99">
        <f>NPER(C22,C23,C24,C25,C26)</f>
        <v>-1.9534711847524076</v>
      </c>
      <c r="E27" s="99"/>
      <c r="H27" s="67" t="s">
        <v>60</v>
      </c>
      <c r="I27" s="101"/>
      <c r="J27" s="67" t="s">
        <v>69</v>
      </c>
      <c r="K27" s="67" t="s">
        <v>67</v>
      </c>
    </row>
    <row r="28" spans="1:13" ht="12" x14ac:dyDescent="0.25">
      <c r="H28" s="67" t="s">
        <v>60</v>
      </c>
      <c r="I28" s="176"/>
      <c r="J28" s="67" t="s">
        <v>70</v>
      </c>
      <c r="K28" s="67" t="s">
        <v>67</v>
      </c>
    </row>
    <row r="29" spans="1:13" ht="12" x14ac:dyDescent="0.25">
      <c r="H29" s="67" t="s">
        <v>61</v>
      </c>
      <c r="I29" s="101"/>
      <c r="J29" s="67" t="s">
        <v>66</v>
      </c>
      <c r="K29" s="67" t="s">
        <v>67</v>
      </c>
    </row>
    <row r="30" spans="1:13" x14ac:dyDescent="0.2">
      <c r="H30" s="67" t="s">
        <v>61</v>
      </c>
      <c r="J30" s="67" t="s">
        <v>71</v>
      </c>
      <c r="K30" s="98">
        <f>IF($I$11=1,0,IF(I20=1,MOD(Eingabe!$G$9,1),IF(I20=2,MOD(Eingabe!$G$9,3),IF(I20=3,MOD(Eingabe!$G$9,6),IF(I20=4,MOD(Eingabe!$G$9,12))))))</f>
        <v>0</v>
      </c>
    </row>
    <row r="31" spans="1:13" x14ac:dyDescent="0.2">
      <c r="A31" s="67" t="s">
        <v>25</v>
      </c>
      <c r="E31" s="67" t="s">
        <v>27</v>
      </c>
      <c r="K31" s="98"/>
    </row>
    <row r="32" spans="1:13" ht="12" x14ac:dyDescent="0.25">
      <c r="A32" s="67" t="s">
        <v>0</v>
      </c>
      <c r="B32" s="67" t="s">
        <v>6</v>
      </c>
      <c r="C32" s="92">
        <f>Eingabe!$G$8/$L$20</f>
        <v>0.05</v>
      </c>
      <c r="E32" s="67" t="s">
        <v>0</v>
      </c>
      <c r="F32" s="67" t="s">
        <v>6</v>
      </c>
      <c r="G32" s="92">
        <f>Eingabe!$G$8/$L$20</f>
        <v>0.05</v>
      </c>
      <c r="H32" s="175" t="s">
        <v>105</v>
      </c>
      <c r="I32" s="67" t="s">
        <v>184</v>
      </c>
      <c r="K32" s="98"/>
    </row>
    <row r="33" spans="1:9" ht="12" x14ac:dyDescent="0.25">
      <c r="A33" s="67" t="s">
        <v>1</v>
      </c>
      <c r="B33" s="67" t="s">
        <v>7</v>
      </c>
      <c r="C33" s="96">
        <f>IF($I$11=2,Eingabe!$G$9/$M$20,Eingabe!$G$9*$M$20)</f>
        <v>10</v>
      </c>
      <c r="E33" s="67" t="s">
        <v>1</v>
      </c>
      <c r="F33" s="67" t="s">
        <v>7</v>
      </c>
      <c r="G33" s="96">
        <f>IF($I$11=2,Eingabe!$G$9/$M$20,Eingabe!$G$9*$M$20)</f>
        <v>10</v>
      </c>
      <c r="H33" s="175" t="s">
        <v>107</v>
      </c>
      <c r="I33" s="67" t="s">
        <v>184</v>
      </c>
    </row>
    <row r="34" spans="1:9" x14ac:dyDescent="0.2">
      <c r="A34" s="67" t="s">
        <v>2</v>
      </c>
      <c r="B34" s="67" t="s">
        <v>22</v>
      </c>
      <c r="C34" s="97">
        <f>-Eingabe!$G$10</f>
        <v>-5000</v>
      </c>
      <c r="E34" s="67" t="s">
        <v>4</v>
      </c>
      <c r="F34" s="67" t="s">
        <v>23</v>
      </c>
      <c r="G34" s="67">
        <f>Eingabe!$G$11</f>
        <v>10000</v>
      </c>
    </row>
    <row r="35" spans="1:9" x14ac:dyDescent="0.2">
      <c r="A35" s="67" t="s">
        <v>4</v>
      </c>
      <c r="B35" s="67" t="s">
        <v>23</v>
      </c>
      <c r="C35" s="67">
        <f>Eingabe!$G$11</f>
        <v>10000</v>
      </c>
      <c r="E35" s="67" t="s">
        <v>12</v>
      </c>
      <c r="F35" s="67" t="s">
        <v>24</v>
      </c>
      <c r="G35" s="98">
        <f>-Eingabe!$G$12</f>
        <v>0</v>
      </c>
    </row>
    <row r="36" spans="1:9" x14ac:dyDescent="0.2">
      <c r="A36" s="67" t="s">
        <v>3</v>
      </c>
      <c r="B36" s="67" t="s">
        <v>9</v>
      </c>
      <c r="C36" s="67">
        <f>Eingabe!$G$13</f>
        <v>0</v>
      </c>
      <c r="E36" s="67" t="s">
        <v>3</v>
      </c>
      <c r="F36" s="67" t="s">
        <v>9</v>
      </c>
      <c r="G36" s="67">
        <f>Eingabe!$G$13</f>
        <v>0</v>
      </c>
    </row>
    <row r="37" spans="1:9" x14ac:dyDescent="0.2">
      <c r="A37" s="67" t="s">
        <v>12</v>
      </c>
      <c r="B37" s="67" t="s">
        <v>24</v>
      </c>
      <c r="C37" s="100">
        <f>-FV(C32,C33,C34,C35,C36)</f>
        <v>-46600.516409969736</v>
      </c>
      <c r="E37" s="67" t="s">
        <v>2</v>
      </c>
      <c r="F37" s="67" t="s">
        <v>22</v>
      </c>
      <c r="G37" s="100">
        <f>-PMT(G32,G33,G34,G35,G36)</f>
        <v>1295.0457496545666</v>
      </c>
    </row>
    <row r="41" spans="1:9" x14ac:dyDescent="0.2">
      <c r="A41" s="67" t="s">
        <v>26</v>
      </c>
      <c r="E41" s="67" t="s">
        <v>29</v>
      </c>
    </row>
    <row r="42" spans="1:9" x14ac:dyDescent="0.2">
      <c r="A42" s="67" t="s">
        <v>0</v>
      </c>
      <c r="B42" s="67" t="s">
        <v>6</v>
      </c>
      <c r="C42" s="92">
        <f>Eingabe!$G$8/$L$20</f>
        <v>0.05</v>
      </c>
      <c r="E42" s="67" t="s">
        <v>1</v>
      </c>
      <c r="F42" s="67" t="s">
        <v>7</v>
      </c>
      <c r="G42" s="96">
        <f>IF($I$11=2,Eingabe!$G$9/$M$20,Eingabe!$G$9*$M$20)</f>
        <v>10</v>
      </c>
    </row>
    <row r="43" spans="1:9" x14ac:dyDescent="0.2">
      <c r="A43" s="67" t="s">
        <v>1</v>
      </c>
      <c r="B43" s="67" t="s">
        <v>7</v>
      </c>
      <c r="C43" s="96">
        <f>IF($I$11=2,Eingabe!$G$9/$M$20,Eingabe!$G$9*$M$20)</f>
        <v>10</v>
      </c>
      <c r="E43" s="67" t="s">
        <v>2</v>
      </c>
      <c r="F43" s="67" t="s">
        <v>22</v>
      </c>
      <c r="G43" s="98">
        <f>-Eingabe!$G$10</f>
        <v>-5000</v>
      </c>
    </row>
    <row r="44" spans="1:9" x14ac:dyDescent="0.2">
      <c r="A44" s="67" t="s">
        <v>2</v>
      </c>
      <c r="B44" s="67" t="s">
        <v>22</v>
      </c>
      <c r="C44" s="98">
        <f>-Eingabe!$G$10</f>
        <v>-5000</v>
      </c>
      <c r="E44" s="67" t="s">
        <v>4</v>
      </c>
      <c r="F44" s="67" t="s">
        <v>23</v>
      </c>
      <c r="G44" s="67">
        <f>Eingabe!$G$11</f>
        <v>10000</v>
      </c>
    </row>
    <row r="45" spans="1:9" x14ac:dyDescent="0.2">
      <c r="A45" s="67" t="s">
        <v>12</v>
      </c>
      <c r="B45" s="67" t="s">
        <v>24</v>
      </c>
      <c r="C45" s="97">
        <f>-Eingabe!$G$12</f>
        <v>0</v>
      </c>
      <c r="E45" s="67" t="s">
        <v>12</v>
      </c>
      <c r="F45" s="67" t="s">
        <v>24</v>
      </c>
      <c r="G45" s="98">
        <f>-Eingabe!$G$12</f>
        <v>0</v>
      </c>
      <c r="I45" s="261"/>
    </row>
    <row r="46" spans="1:9" x14ac:dyDescent="0.2">
      <c r="A46" s="67" t="s">
        <v>3</v>
      </c>
      <c r="B46" s="67" t="s">
        <v>9</v>
      </c>
      <c r="C46" s="67">
        <f>Eingabe!$G$13</f>
        <v>0</v>
      </c>
      <c r="E46" s="67" t="s">
        <v>3</v>
      </c>
      <c r="F46" s="67" t="s">
        <v>9</v>
      </c>
      <c r="G46" s="67">
        <f>Eingabe!$G$13</f>
        <v>0</v>
      </c>
      <c r="I46" s="261"/>
    </row>
    <row r="47" spans="1:9" x14ac:dyDescent="0.2">
      <c r="A47" s="67" t="s">
        <v>4</v>
      </c>
      <c r="B47" s="67" t="s">
        <v>23</v>
      </c>
      <c r="C47" s="99">
        <f>PV(C42,C43,C44,C45,C46)</f>
        <v>38608.674645924068</v>
      </c>
      <c r="E47" s="67" t="s">
        <v>0</v>
      </c>
      <c r="F47" s="67" t="s">
        <v>6</v>
      </c>
      <c r="G47" s="108" t="e">
        <f>RATE(G42,G43,G44,G45,G46)</f>
        <v>#NUM!</v>
      </c>
      <c r="I47" s="261"/>
    </row>
    <row r="48" spans="1:9" x14ac:dyDescent="0.2">
      <c r="I48" s="261"/>
    </row>
    <row r="49" spans="1:9" x14ac:dyDescent="0.2">
      <c r="I49" s="261"/>
    </row>
    <row r="50" spans="1:9" x14ac:dyDescent="0.2">
      <c r="I50" s="262"/>
    </row>
    <row r="51" spans="1:9" x14ac:dyDescent="0.2">
      <c r="A51" s="67" t="s">
        <v>28</v>
      </c>
      <c r="E51" s="67" t="s">
        <v>73</v>
      </c>
      <c r="I51" s="262"/>
    </row>
    <row r="52" spans="1:9" x14ac:dyDescent="0.2">
      <c r="A52" s="67" t="s">
        <v>0</v>
      </c>
      <c r="B52" s="67" t="s">
        <v>6</v>
      </c>
      <c r="C52" s="92">
        <f>Eingabe!$G$8/$L$20</f>
        <v>0.05</v>
      </c>
      <c r="E52" s="67" t="s">
        <v>0</v>
      </c>
      <c r="F52" s="67" t="s">
        <v>6</v>
      </c>
      <c r="G52" s="92">
        <f>Eingabe!$H$8/$L$20</f>
        <v>0.05</v>
      </c>
      <c r="I52" s="262"/>
    </row>
    <row r="53" spans="1:9" x14ac:dyDescent="0.2">
      <c r="A53" s="67" t="s">
        <v>2</v>
      </c>
      <c r="B53" s="67" t="s">
        <v>22</v>
      </c>
      <c r="C53" s="97">
        <f>-Eingabe!$G$10</f>
        <v>-5000</v>
      </c>
      <c r="E53" s="67" t="s">
        <v>1</v>
      </c>
      <c r="F53" s="67" t="s">
        <v>7</v>
      </c>
      <c r="G53" s="96">
        <f>IF($I$11=2,Eingabe!$H$9/$M$20,Eingabe!$H$9*$M$20)</f>
        <v>10</v>
      </c>
    </row>
    <row r="54" spans="1:9" x14ac:dyDescent="0.2">
      <c r="A54" s="67" t="s">
        <v>4</v>
      </c>
      <c r="B54" s="67" t="s">
        <v>23</v>
      </c>
      <c r="C54" s="97">
        <f>Eingabe!$G$11</f>
        <v>10000</v>
      </c>
      <c r="E54" s="67" t="s">
        <v>4</v>
      </c>
      <c r="F54" s="67" t="s">
        <v>23</v>
      </c>
      <c r="G54" s="98">
        <f>Eingabe!$H$11</f>
        <v>10000</v>
      </c>
    </row>
    <row r="55" spans="1:9" x14ac:dyDescent="0.2">
      <c r="A55" s="67" t="s">
        <v>12</v>
      </c>
      <c r="B55" s="67" t="s">
        <v>24</v>
      </c>
      <c r="C55" s="98">
        <f>-Eingabe!$G$12</f>
        <v>0</v>
      </c>
      <c r="E55" s="67" t="s">
        <v>12</v>
      </c>
      <c r="F55" s="67" t="s">
        <v>24</v>
      </c>
      <c r="G55" s="97">
        <v>0</v>
      </c>
    </row>
    <row r="56" spans="1:9" x14ac:dyDescent="0.2">
      <c r="A56" s="67" t="s">
        <v>3</v>
      </c>
      <c r="B56" s="67" t="s">
        <v>9</v>
      </c>
      <c r="C56" s="67">
        <f>Eingabe!$G$13</f>
        <v>0</v>
      </c>
      <c r="E56" s="67" t="s">
        <v>3</v>
      </c>
      <c r="F56" s="67" t="s">
        <v>9</v>
      </c>
      <c r="G56" s="67">
        <f>Eingabe!$G$13</f>
        <v>0</v>
      </c>
    </row>
    <row r="57" spans="1:9" x14ac:dyDescent="0.2">
      <c r="A57" s="67" t="s">
        <v>1</v>
      </c>
      <c r="B57" s="67" t="s">
        <v>7</v>
      </c>
      <c r="C57" s="99">
        <f>NPER(C52,C53,C54,C55,C56)</f>
        <v>2.1594622082423056</v>
      </c>
      <c r="E57" s="67" t="s">
        <v>2</v>
      </c>
      <c r="F57" s="67" t="s">
        <v>22</v>
      </c>
      <c r="G57" s="109">
        <f>-PMT(G52,G53,G54,G55,G56)</f>
        <v>1295.0457496545666</v>
      </c>
    </row>
    <row r="59" spans="1:9" ht="12" x14ac:dyDescent="0.25">
      <c r="A59" s="200"/>
      <c r="B59" s="200"/>
      <c r="C59" s="200"/>
      <c r="D59" s="203" t="s">
        <v>113</v>
      </c>
      <c r="E59" s="200"/>
      <c r="F59" s="200"/>
      <c r="G59" s="200"/>
      <c r="H59" s="200"/>
      <c r="I59" s="200"/>
    </row>
    <row r="62" spans="1:9" x14ac:dyDescent="0.2">
      <c r="A62" s="202" t="s">
        <v>114</v>
      </c>
      <c r="B62" s="202"/>
      <c r="C62" s="202"/>
    </row>
    <row r="63" spans="1:9" x14ac:dyDescent="0.2">
      <c r="A63" s="110" t="s">
        <v>0</v>
      </c>
      <c r="B63" s="110" t="s">
        <v>92</v>
      </c>
      <c r="C63" s="204">
        <f>-1/(100%+C69)*C69</f>
        <v>-1.9607843137254902E-2</v>
      </c>
      <c r="G63" s="92"/>
    </row>
    <row r="64" spans="1:9" x14ac:dyDescent="0.2">
      <c r="A64" s="110" t="s">
        <v>1</v>
      </c>
      <c r="B64" s="110" t="s">
        <v>7</v>
      </c>
      <c r="C64" s="201">
        <f>$G$73/$L$20</f>
        <v>10</v>
      </c>
      <c r="G64" s="96"/>
    </row>
    <row r="65" spans="1:9" x14ac:dyDescent="0.2">
      <c r="A65" s="110" t="s">
        <v>2</v>
      </c>
      <c r="B65" s="110" t="s">
        <v>8</v>
      </c>
      <c r="C65" s="111">
        <v>0</v>
      </c>
      <c r="G65" s="96"/>
    </row>
    <row r="66" spans="1:9" x14ac:dyDescent="0.2">
      <c r="A66" s="110" t="s">
        <v>4</v>
      </c>
      <c r="B66" s="110" t="s">
        <v>5</v>
      </c>
      <c r="C66" s="112">
        <f>-Eingabe!$H$12</f>
        <v>-79178.408945518575</v>
      </c>
      <c r="G66" s="98"/>
    </row>
    <row r="67" spans="1:9" x14ac:dyDescent="0.2">
      <c r="A67" s="110" t="s">
        <v>3</v>
      </c>
      <c r="B67" s="110" t="s">
        <v>9</v>
      </c>
      <c r="C67" s="111">
        <f>Eingabe!$H$13</f>
        <v>0</v>
      </c>
    </row>
    <row r="68" spans="1:9" x14ac:dyDescent="0.2">
      <c r="A68" s="110" t="s">
        <v>12</v>
      </c>
      <c r="B68" s="110" t="s">
        <v>102</v>
      </c>
      <c r="C68" s="113">
        <f>FV(C63,C64,C65,C66,C67)</f>
        <v>64953.873165275931</v>
      </c>
      <c r="G68" s="93"/>
    </row>
    <row r="69" spans="1:9" x14ac:dyDescent="0.2">
      <c r="A69" s="110" t="s">
        <v>54</v>
      </c>
      <c r="B69" s="110"/>
      <c r="C69" s="114">
        <f>Eingabe!$I$5</f>
        <v>0.02</v>
      </c>
    </row>
    <row r="70" spans="1:9" x14ac:dyDescent="0.2">
      <c r="C70" s="96"/>
    </row>
    <row r="71" spans="1:9" x14ac:dyDescent="0.2">
      <c r="A71" s="115" t="s">
        <v>115</v>
      </c>
      <c r="B71" s="115"/>
      <c r="C71" s="115"/>
      <c r="E71" s="115" t="s">
        <v>13</v>
      </c>
      <c r="F71" s="115"/>
      <c r="G71" s="115"/>
    </row>
    <row r="72" spans="1:9" x14ac:dyDescent="0.2">
      <c r="A72" s="115" t="s">
        <v>0</v>
      </c>
      <c r="B72" s="115" t="s">
        <v>93</v>
      </c>
      <c r="C72" s="116">
        <f>Eingabe!$I$5</f>
        <v>0.02</v>
      </c>
      <c r="E72" s="115" t="s">
        <v>0</v>
      </c>
      <c r="F72" s="115" t="s">
        <v>6</v>
      </c>
      <c r="G72" s="116">
        <f>IF(ISERROR(G17),C2,IF(G17&lt;C2,C2,IF(C2&gt;0,C2,ROUNDDOWN(G17,12))))</f>
        <v>0.05</v>
      </c>
    </row>
    <row r="73" spans="1:9" x14ac:dyDescent="0.2">
      <c r="A73" s="115" t="s">
        <v>1</v>
      </c>
      <c r="B73" s="115" t="s">
        <v>7</v>
      </c>
      <c r="C73" s="201">
        <f>$G$73/$L$20</f>
        <v>10</v>
      </c>
      <c r="E73" s="115" t="s">
        <v>1</v>
      </c>
      <c r="F73" s="115" t="s">
        <v>7</v>
      </c>
      <c r="G73" s="196">
        <f>IF(ISERROR(C27),C3,IF(C3&gt;0,C3,C27))</f>
        <v>10</v>
      </c>
      <c r="H73" s="67" t="s">
        <v>111</v>
      </c>
    </row>
    <row r="74" spans="1:9" x14ac:dyDescent="0.2">
      <c r="A74" s="115" t="s">
        <v>2</v>
      </c>
      <c r="B74" s="115" t="s">
        <v>8</v>
      </c>
      <c r="C74" s="118">
        <v>0</v>
      </c>
      <c r="E74" s="115" t="s">
        <v>4</v>
      </c>
      <c r="F74" s="115" t="s">
        <v>5</v>
      </c>
      <c r="G74" s="117">
        <f>Eingabe!H11</f>
        <v>10000</v>
      </c>
    </row>
    <row r="75" spans="1:9" x14ac:dyDescent="0.2">
      <c r="A75" s="115" t="s">
        <v>4</v>
      </c>
      <c r="B75" s="115" t="s">
        <v>103</v>
      </c>
      <c r="C75" s="119">
        <f>-Eingabe!$H$12</f>
        <v>-79178.408945518575</v>
      </c>
      <c r="E75" s="115" t="s">
        <v>12</v>
      </c>
      <c r="F75" s="115" t="s">
        <v>15</v>
      </c>
      <c r="G75" s="119">
        <f>-C77</f>
        <v>-96518.038688650107</v>
      </c>
    </row>
    <row r="76" spans="1:9" x14ac:dyDescent="0.2">
      <c r="A76" s="115" t="s">
        <v>3</v>
      </c>
      <c r="B76" s="115" t="s">
        <v>9</v>
      </c>
      <c r="C76" s="118">
        <f>Eingabe!$H$13</f>
        <v>0</v>
      </c>
      <c r="E76" s="115" t="s">
        <v>3</v>
      </c>
      <c r="F76" s="115" t="s">
        <v>9</v>
      </c>
      <c r="G76" s="115">
        <f>Eingabe!G13</f>
        <v>0</v>
      </c>
    </row>
    <row r="77" spans="1:9" x14ac:dyDescent="0.2">
      <c r="A77" s="115" t="s">
        <v>12</v>
      </c>
      <c r="B77" s="115" t="s">
        <v>112</v>
      </c>
      <c r="C77" s="113">
        <f>FV(C72,C73,C74,C75,C76)</f>
        <v>96518.038688650107</v>
      </c>
      <c r="E77" s="115" t="s">
        <v>2</v>
      </c>
      <c r="F77" s="115" t="s">
        <v>17</v>
      </c>
      <c r="G77" s="205">
        <f>PMT(G72,G73,G74,G75,G76)</f>
        <v>6378.5798927860624</v>
      </c>
    </row>
    <row r="79" spans="1:9" ht="12" x14ac:dyDescent="0.25">
      <c r="A79" s="200"/>
      <c r="B79" s="200"/>
      <c r="C79" s="200"/>
      <c r="D79" s="203" t="s">
        <v>159</v>
      </c>
      <c r="E79" s="200"/>
      <c r="F79" s="200"/>
      <c r="G79" s="200"/>
      <c r="H79" s="200"/>
      <c r="I79" s="200"/>
    </row>
    <row r="81" spans="1:5" x14ac:dyDescent="0.2">
      <c r="A81" s="67" t="s">
        <v>150</v>
      </c>
      <c r="B81" s="67" t="s">
        <v>151</v>
      </c>
      <c r="C81" s="67" t="s">
        <v>152</v>
      </c>
    </row>
    <row r="82" spans="1:5" x14ac:dyDescent="0.2">
      <c r="A82" s="67" t="s">
        <v>153</v>
      </c>
      <c r="C82" s="256">
        <v>0</v>
      </c>
      <c r="D82" s="256"/>
      <c r="E82" s="256">
        <v>10000</v>
      </c>
    </row>
    <row r="83" spans="1:5" x14ac:dyDescent="0.2">
      <c r="A83" s="67" t="s">
        <v>144</v>
      </c>
      <c r="B83" s="67" t="s">
        <v>154</v>
      </c>
      <c r="C83" s="256">
        <v>3</v>
      </c>
      <c r="D83" s="256"/>
      <c r="E83" s="256">
        <v>3</v>
      </c>
    </row>
    <row r="84" spans="1:5" x14ac:dyDescent="0.2">
      <c r="A84" s="67" t="s">
        <v>155</v>
      </c>
      <c r="C84" s="256">
        <v>50000</v>
      </c>
      <c r="D84" s="256"/>
      <c r="E84" s="256">
        <v>5000</v>
      </c>
    </row>
    <row r="85" spans="1:5" x14ac:dyDescent="0.2">
      <c r="A85" s="67" t="s">
        <v>7</v>
      </c>
      <c r="B85" s="67" t="s">
        <v>156</v>
      </c>
      <c r="C85" s="256">
        <v>5</v>
      </c>
      <c r="D85" s="256"/>
      <c r="E85" s="256">
        <v>10</v>
      </c>
    </row>
    <row r="86" spans="1:5" x14ac:dyDescent="0.2">
      <c r="A86" s="67" t="s">
        <v>6</v>
      </c>
      <c r="C86" s="256">
        <v>10</v>
      </c>
      <c r="D86" s="256"/>
      <c r="E86" s="256">
        <v>5</v>
      </c>
    </row>
    <row r="87" spans="1:5" x14ac:dyDescent="0.2">
      <c r="A87" s="67" t="s">
        <v>157</v>
      </c>
      <c r="C87" s="282">
        <f>IF(C86&lt;&gt;0, C82*(1+C86/100)^C85 + C84* (12/C83 + (12+C83)/(2*C83)*C86/100) * ( (1 + C86/100)^C85 - 1) * 100 / C86,
C82 + C85*12/C83*C84)</f>
        <v>1297333.7500000012</v>
      </c>
      <c r="D87" s="256"/>
      <c r="E87" s="282">
        <f>IF(E86&lt;&gt;0, E82*(1+E86/100)^E85 + E84* (12/E83 + (12+E83)/(2*E83)*E86/100) * ( (1 + E86/100)^E85 - 1) * 100 / E86,
E82 + E85*12/E83*E84)</f>
        <v>275707.97981346905</v>
      </c>
    </row>
    <row r="88" spans="1:5" x14ac:dyDescent="0.2">
      <c r="A88" s="67" t="s">
        <v>158</v>
      </c>
      <c r="C88" s="282">
        <f>IF(C86&lt;&gt;0, C82*(1+C86/100)^C85 + C84* (12/C83 + (12-C83)/(2*C83)*C86/100) * ( (1 + C86/100)^C85 - 1) * 100 / C86,
C82 + C85*12/C83*C84)</f>
        <v>1266808.2500000014</v>
      </c>
      <c r="D88" s="256"/>
      <c r="E88" s="282">
        <f>IF(E86&lt;&gt;0, E82*(1+E86/100)^E85 + E84* (12/E83 + (12-E83)/(2*E83)*E86/100) * ( (1 + E86/100)^E85 - 1) * 100 / E86,
E82 + E85*12/E83*E84)</f>
        <v>272563.50667958183</v>
      </c>
    </row>
    <row r="142" spans="1:3" x14ac:dyDescent="0.2">
      <c r="A142" s="257" t="s">
        <v>141</v>
      </c>
      <c r="B142" s="257"/>
      <c r="C142" s="260"/>
    </row>
    <row r="143" spans="1:3" x14ac:dyDescent="0.2">
      <c r="A143" s="257" t="s">
        <v>70</v>
      </c>
      <c r="B143" s="257">
        <v>1</v>
      </c>
      <c r="C143" s="260"/>
    </row>
    <row r="144" spans="1:3" x14ac:dyDescent="0.2">
      <c r="A144" s="257" t="s">
        <v>142</v>
      </c>
      <c r="B144" s="257">
        <v>2</v>
      </c>
      <c r="C144" s="260"/>
    </row>
    <row r="145" spans="1:7" x14ac:dyDescent="0.2">
      <c r="A145" s="257"/>
      <c r="B145" s="257">
        <v>1</v>
      </c>
      <c r="C145" s="260" t="str">
        <f>IF(Eingabe!$G$12&gt;0,J20,IF(B145=1,"jährlich",J20))</f>
        <v>jährlich</v>
      </c>
    </row>
    <row r="151" spans="1:7" ht="12" x14ac:dyDescent="0.25">
      <c r="B151" s="258" t="s">
        <v>143</v>
      </c>
      <c r="C151" s="255"/>
      <c r="D151" s="255"/>
      <c r="E151" s="283"/>
      <c r="F151" s="283"/>
      <c r="G151" s="283"/>
    </row>
    <row r="152" spans="1:7" x14ac:dyDescent="0.2">
      <c r="B152" s="255" t="s">
        <v>77</v>
      </c>
      <c r="C152" s="259">
        <f>IF(Eingabe!$G$11&gt;0,Eingabe!$G$11,Eingabe!$H$11)</f>
        <v>10000</v>
      </c>
      <c r="D152" s="255"/>
      <c r="E152" s="288"/>
      <c r="F152" s="283"/>
      <c r="G152" s="284"/>
    </row>
    <row r="153" spans="1:7" x14ac:dyDescent="0.2">
      <c r="B153" s="255" t="s">
        <v>144</v>
      </c>
      <c r="C153" s="259">
        <f>IF(I20=1,1,IF(I20=2,3,IF(I20=3,6,IF(I20=4,12))))</f>
        <v>12</v>
      </c>
      <c r="D153" s="255"/>
      <c r="E153" s="288"/>
      <c r="F153" s="283"/>
      <c r="G153" s="285"/>
    </row>
    <row r="154" spans="1:7" x14ac:dyDescent="0.2">
      <c r="B154" s="255" t="s">
        <v>76</v>
      </c>
      <c r="C154" s="259">
        <f>IF(Eingabe!$G$10&gt;0,Eingabe!$G$10,Eingabe!$H$10)</f>
        <v>5000</v>
      </c>
      <c r="D154" s="255"/>
      <c r="E154" s="288"/>
      <c r="F154" s="283"/>
      <c r="G154" s="285"/>
    </row>
    <row r="155" spans="1:7" x14ac:dyDescent="0.2">
      <c r="B155" s="255" t="s">
        <v>7</v>
      </c>
      <c r="C155" s="259">
        <f>IF(I11=2,D155,IF(Eingabe!$G$9&gt;0,Eingabe!$G$9,Eingabe!$H$9))</f>
        <v>10</v>
      </c>
      <c r="D155" s="299">
        <f>IF(Eingabe!$G$9&gt;0,Eingabe!$G$9/12,Eingabe!$H$9/12)</f>
        <v>0.83333333333333337</v>
      </c>
      <c r="E155" s="288"/>
      <c r="F155" s="283"/>
      <c r="G155" s="285"/>
    </row>
    <row r="156" spans="1:7" x14ac:dyDescent="0.2">
      <c r="B156" s="255" t="s">
        <v>30</v>
      </c>
      <c r="C156" s="259">
        <f>IF(Eingabe!$G$8&gt;0,Eingabe!$G$8*100,Eingabe!$H$8*100)</f>
        <v>5</v>
      </c>
      <c r="D156" s="255"/>
      <c r="E156" s="288"/>
      <c r="F156" s="283"/>
      <c r="G156" s="286"/>
    </row>
    <row r="157" spans="1:7" x14ac:dyDescent="0.2">
      <c r="B157" s="255" t="s">
        <v>14</v>
      </c>
      <c r="C157" s="259">
        <f>IF(C156&lt;&gt;0,C152*(1+C156/100)^C155+C154*(12/C153+(12-C153)/(2*C153)*C156/100)*((1+C156/100)^C155-1)*100/C156)</f>
        <v>79178.408945518575</v>
      </c>
      <c r="D157" s="255" t="s">
        <v>145</v>
      </c>
      <c r="E157" s="288"/>
      <c r="F157" s="283"/>
      <c r="G157" s="287"/>
    </row>
    <row r="158" spans="1:7" x14ac:dyDescent="0.2">
      <c r="B158" s="255" t="s">
        <v>14</v>
      </c>
      <c r="C158" s="259">
        <f>IF(C156&lt;&gt;0,C152*(1+C156/100)^C155+C154*(12/C153+(12+C153)/(2*C153)*C156/100)*((1+C156/100)^C155-1)*100/C156)</f>
        <v>82322.882079405768</v>
      </c>
      <c r="D158" s="255" t="s">
        <v>146</v>
      </c>
      <c r="E158" s="288"/>
      <c r="F158" s="283"/>
      <c r="G158" s="286"/>
    </row>
    <row r="159" spans="1:7" x14ac:dyDescent="0.2">
      <c r="B159" s="255" t="s">
        <v>147</v>
      </c>
      <c r="C159" s="259">
        <f>IF(Eingabe!$H$13=0,Formeln!C157,Formeln!C158)</f>
        <v>79178.408945518575</v>
      </c>
      <c r="D159" s="255" t="s">
        <v>148</v>
      </c>
      <c r="E159" s="288"/>
      <c r="F159" s="285"/>
      <c r="G159" s="285"/>
    </row>
    <row r="161" spans="1:10" ht="15" x14ac:dyDescent="0.25">
      <c r="A161" s="265" t="s">
        <v>168</v>
      </c>
    </row>
    <row r="163" spans="1:10" ht="12" x14ac:dyDescent="0.25">
      <c r="A163" s="271" t="s">
        <v>170</v>
      </c>
      <c r="B163" s="257"/>
      <c r="C163" s="257" t="s">
        <v>160</v>
      </c>
      <c r="D163" s="257" t="s">
        <v>160</v>
      </c>
      <c r="E163" s="257" t="s">
        <v>160</v>
      </c>
      <c r="F163" s="257" t="s">
        <v>160</v>
      </c>
      <c r="G163" s="276" t="s">
        <v>171</v>
      </c>
      <c r="H163" s="276" t="s">
        <v>171</v>
      </c>
      <c r="I163" s="276" t="s">
        <v>171</v>
      </c>
      <c r="J163" s="276" t="s">
        <v>171</v>
      </c>
    </row>
    <row r="164" spans="1:10" x14ac:dyDescent="0.2">
      <c r="A164" s="257" t="s">
        <v>169</v>
      </c>
      <c r="B164" s="257"/>
      <c r="C164" s="257" t="s">
        <v>135</v>
      </c>
      <c r="D164" s="257" t="s">
        <v>163</v>
      </c>
      <c r="E164" s="257" t="s">
        <v>70</v>
      </c>
      <c r="F164" s="257" t="s">
        <v>66</v>
      </c>
      <c r="G164" s="274" t="s">
        <v>135</v>
      </c>
      <c r="H164" s="274" t="s">
        <v>136</v>
      </c>
      <c r="I164" s="274" t="s">
        <v>70</v>
      </c>
      <c r="J164" s="274" t="s">
        <v>66</v>
      </c>
    </row>
    <row r="165" spans="1:10" x14ac:dyDescent="0.2">
      <c r="A165" s="257" t="s">
        <v>164</v>
      </c>
      <c r="B165" s="257"/>
      <c r="C165" s="266">
        <v>273884</v>
      </c>
      <c r="D165" s="266">
        <v>143640.1</v>
      </c>
      <c r="E165" s="266">
        <v>79178.399999999994</v>
      </c>
      <c r="F165" s="272">
        <v>788257.1</v>
      </c>
      <c r="G165" s="275">
        <v>273884</v>
      </c>
      <c r="H165" s="275">
        <v>144109.45000000001</v>
      </c>
      <c r="I165" s="275">
        <v>79178.399999999994</v>
      </c>
      <c r="J165" s="275">
        <v>792881.5</v>
      </c>
    </row>
    <row r="166" spans="1:10" x14ac:dyDescent="0.2">
      <c r="A166" s="257" t="s">
        <v>165</v>
      </c>
      <c r="B166" s="257"/>
      <c r="C166" s="266">
        <v>277102.09999999998</v>
      </c>
      <c r="D166" s="266">
        <v>146784.6</v>
      </c>
      <c r="E166" s="266">
        <v>82322.899999999994</v>
      </c>
      <c r="F166" s="273">
        <v>791401.55</v>
      </c>
      <c r="G166" s="275">
        <v>277102.09999999998</v>
      </c>
      <c r="H166" s="275">
        <v>147302.54999999999</v>
      </c>
      <c r="I166" s="275">
        <v>82322.899999999994</v>
      </c>
      <c r="J166" s="275">
        <v>796116.55</v>
      </c>
    </row>
    <row r="167" spans="1:10" x14ac:dyDescent="0.2">
      <c r="A167" s="257" t="s">
        <v>166</v>
      </c>
      <c r="B167" s="257"/>
      <c r="C167" s="266">
        <v>203795.4</v>
      </c>
      <c r="D167" s="266">
        <v>106881.75</v>
      </c>
      <c r="E167" s="266">
        <v>58916.15</v>
      </c>
      <c r="F167" s="273">
        <v>586537.30000000005</v>
      </c>
      <c r="G167" s="275">
        <v>203795.4</v>
      </c>
      <c r="H167" s="275">
        <v>107230.95</v>
      </c>
      <c r="I167" s="275">
        <v>58916.15</v>
      </c>
      <c r="J167" s="275">
        <v>589978.30000000005</v>
      </c>
    </row>
    <row r="168" spans="1:10" x14ac:dyDescent="0.2">
      <c r="A168" s="257" t="s">
        <v>167</v>
      </c>
      <c r="B168" s="257"/>
      <c r="C168" s="266">
        <v>206189.95</v>
      </c>
      <c r="D168" s="266">
        <v>109221.5</v>
      </c>
      <c r="E168" s="266">
        <v>61255.95</v>
      </c>
      <c r="F168" s="273">
        <v>588877.1</v>
      </c>
      <c r="G168" s="275">
        <v>206189.95</v>
      </c>
      <c r="H168" s="275">
        <v>109606.9</v>
      </c>
      <c r="I168" s="275">
        <v>61255.95</v>
      </c>
      <c r="J168" s="275">
        <v>592385.44999999995</v>
      </c>
    </row>
    <row r="169" spans="1:10" x14ac:dyDescent="0.2">
      <c r="C169" s="256"/>
      <c r="D169" s="256"/>
      <c r="E169" s="256"/>
      <c r="F169" s="256"/>
    </row>
    <row r="170" spans="1:10" ht="12" x14ac:dyDescent="0.25">
      <c r="A170" s="270" t="s">
        <v>185</v>
      </c>
      <c r="B170" s="264"/>
      <c r="C170" s="267" t="s">
        <v>160</v>
      </c>
      <c r="D170" s="267" t="s">
        <v>160</v>
      </c>
      <c r="E170" s="267" t="s">
        <v>160</v>
      </c>
      <c r="F170" s="267" t="s">
        <v>160</v>
      </c>
      <c r="G170" s="276" t="s">
        <v>171</v>
      </c>
      <c r="H170" s="276" t="s">
        <v>171</v>
      </c>
      <c r="I170" s="276" t="s">
        <v>171</v>
      </c>
      <c r="J170" s="276" t="s">
        <v>171</v>
      </c>
    </row>
    <row r="171" spans="1:10" x14ac:dyDescent="0.2">
      <c r="A171" s="264" t="s">
        <v>161</v>
      </c>
      <c r="B171" s="264"/>
      <c r="C171" s="267" t="s">
        <v>162</v>
      </c>
      <c r="D171" s="267" t="s">
        <v>163</v>
      </c>
      <c r="E171" s="267" t="s">
        <v>70</v>
      </c>
      <c r="F171" s="267" t="s">
        <v>66</v>
      </c>
      <c r="G171" s="274" t="s">
        <v>135</v>
      </c>
      <c r="H171" s="274" t="s">
        <v>136</v>
      </c>
      <c r="I171" s="274" t="s">
        <v>70</v>
      </c>
      <c r="J171" s="274" t="s">
        <v>66</v>
      </c>
    </row>
    <row r="172" spans="1:10" x14ac:dyDescent="0.2">
      <c r="A172" s="264" t="s">
        <v>164</v>
      </c>
      <c r="B172" s="264"/>
      <c r="C172" s="267">
        <v>272563.51</v>
      </c>
      <c r="D172" s="267">
        <v>143640.10819020632</v>
      </c>
      <c r="E172" s="267">
        <v>79178.409</v>
      </c>
      <c r="F172" s="269">
        <v>788257.10063708387</v>
      </c>
      <c r="G172" s="275">
        <v>273883.98</v>
      </c>
      <c r="H172" s="275">
        <v>144109.45246098307</v>
      </c>
      <c r="I172" s="275">
        <v>79178.408945518575</v>
      </c>
      <c r="J172" s="275">
        <v>792881.49220524612</v>
      </c>
    </row>
    <row r="173" spans="1:10" x14ac:dyDescent="0.2">
      <c r="A173" s="264" t="s">
        <v>165</v>
      </c>
      <c r="B173" s="264"/>
      <c r="C173" s="267">
        <v>275707.97981346905</v>
      </c>
      <c r="D173" s="267">
        <v>146784.58132409357</v>
      </c>
      <c r="E173" s="267">
        <v>82322.881999999998</v>
      </c>
      <c r="F173" s="269">
        <v>791401.57377097115</v>
      </c>
      <c r="G173" s="275">
        <v>277102.07734711008</v>
      </c>
      <c r="H173" s="275">
        <v>147302.53466243501</v>
      </c>
      <c r="I173" s="275">
        <v>82322.882079405768</v>
      </c>
      <c r="J173" s="275">
        <v>796116.53969369747</v>
      </c>
    </row>
    <row r="174" spans="1:10" x14ac:dyDescent="0.2">
      <c r="A174" s="264" t="s">
        <v>166</v>
      </c>
      <c r="B174" s="264"/>
      <c r="C174" s="267">
        <v>202812.85</v>
      </c>
      <c r="D174" s="267">
        <v>106881.73043943975</v>
      </c>
      <c r="E174" s="267">
        <v>58916.17228756479</v>
      </c>
      <c r="F174" s="268">
        <v>586537.31195818947</v>
      </c>
      <c r="G174" s="275">
        <v>203795.40292777732</v>
      </c>
      <c r="H174" s="275">
        <v>107230.967</v>
      </c>
      <c r="I174" s="275">
        <v>58916.17228756479</v>
      </c>
      <c r="J174" s="275">
        <v>589978.29358415876</v>
      </c>
    </row>
    <row r="175" spans="1:10" x14ac:dyDescent="0.2">
      <c r="A175" s="264" t="s">
        <v>167</v>
      </c>
      <c r="B175" s="264"/>
      <c r="C175" s="267">
        <v>205152.63006767142</v>
      </c>
      <c r="D175" s="267">
        <v>109221.5137639215</v>
      </c>
      <c r="E175" s="267">
        <v>61255.955999999998</v>
      </c>
      <c r="F175" s="268">
        <v>588877.09528267127</v>
      </c>
      <c r="G175" s="275">
        <v>206189.96955922624</v>
      </c>
      <c r="H175" s="275">
        <v>109606.9196911818</v>
      </c>
      <c r="I175" s="275">
        <v>61255.955612046484</v>
      </c>
      <c r="J175" s="275">
        <v>592385.4727347173</v>
      </c>
    </row>
  </sheetData>
  <sheetProtection selectLockedCells="1" selectUnlockedCells="1"/>
  <pageMargins left="0.62992125984251968" right="0.51181102362204722" top="0.59055118110236227" bottom="0.86614173228346458" header="0.51181102362204722" footer="0.59055118110236227"/>
  <pageSetup paperSize="9" orientation="portrait" horizontalDpi="300" r:id="rId1"/>
  <headerFooter alignWithMargins="0">
    <oddFooter>&amp;L&amp;8&amp;F / &amp;A&amp;C&amp;8&amp;N&amp;R&amp;8&amp;D / Marcel Bouvrot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/>
  <dimension ref="A1:O81"/>
  <sheetViews>
    <sheetView zoomScaleNormal="100" workbookViewId="0"/>
  </sheetViews>
  <sheetFormatPr baseColWidth="10" defaultColWidth="11.44140625" defaultRowHeight="11.4" x14ac:dyDescent="0.2"/>
  <cols>
    <col min="1" max="1" width="9.5546875" style="54" bestFit="1" customWidth="1"/>
    <col min="2" max="2" width="7" style="54" bestFit="1" customWidth="1"/>
    <col min="3" max="3" width="21.21875" style="54" customWidth="1"/>
    <col min="4" max="4" width="18.77734375" style="54" customWidth="1"/>
    <col min="5" max="5" width="19.21875" style="54" bestFit="1" customWidth="1"/>
    <col min="6" max="6" width="14.77734375" style="54" customWidth="1"/>
    <col min="7" max="7" width="15.21875" style="54" customWidth="1"/>
    <col min="8" max="8" width="14.21875" style="54" customWidth="1"/>
    <col min="9" max="9" width="7.21875" style="54" bestFit="1" customWidth="1"/>
    <col min="10" max="10" width="11.5546875" style="54" bestFit="1" customWidth="1"/>
    <col min="11" max="11" width="15.77734375" style="54" bestFit="1" customWidth="1"/>
    <col min="12" max="12" width="10.5546875" style="54" customWidth="1"/>
    <col min="13" max="13" width="11.21875" style="54" customWidth="1"/>
    <col min="14" max="14" width="14.77734375" style="54" customWidth="1"/>
    <col min="15" max="16384" width="11.44140625" style="54"/>
  </cols>
  <sheetData>
    <row r="1" spans="1:15" x14ac:dyDescent="0.2">
      <c r="A1" s="300" t="s">
        <v>75</v>
      </c>
      <c r="B1" s="55" t="s">
        <v>7</v>
      </c>
      <c r="C1" s="55" t="s">
        <v>79</v>
      </c>
      <c r="D1" s="55" t="s">
        <v>76</v>
      </c>
      <c r="E1" s="55" t="s">
        <v>80</v>
      </c>
      <c r="F1" s="55" t="s">
        <v>77</v>
      </c>
      <c r="G1" s="55" t="s">
        <v>78</v>
      </c>
      <c r="H1" s="55" t="s">
        <v>81</v>
      </c>
      <c r="I1" s="55" t="s">
        <v>54</v>
      </c>
      <c r="J1" s="55" t="s">
        <v>76</v>
      </c>
      <c r="K1" s="55" t="s">
        <v>78</v>
      </c>
      <c r="L1" s="75" t="s">
        <v>94</v>
      </c>
      <c r="M1" s="76" t="s">
        <v>95</v>
      </c>
      <c r="N1" s="75"/>
      <c r="O1" s="67" t="s">
        <v>139</v>
      </c>
    </row>
    <row r="2" spans="1:15" x14ac:dyDescent="0.2">
      <c r="A2" s="65">
        <v>0.05</v>
      </c>
      <c r="B2" s="56">
        <v>10</v>
      </c>
      <c r="C2" s="54" t="s">
        <v>31</v>
      </c>
      <c r="D2" s="56">
        <v>10000</v>
      </c>
      <c r="E2" s="54" t="s">
        <v>82</v>
      </c>
      <c r="F2" s="56">
        <v>0</v>
      </c>
      <c r="G2" s="249">
        <v>125778.9253554883</v>
      </c>
      <c r="H2" s="66">
        <v>0</v>
      </c>
      <c r="I2" s="84">
        <v>0.03</v>
      </c>
      <c r="J2" s="79">
        <v>13439.163793441219</v>
      </c>
      <c r="K2" s="79">
        <v>169036.35796154241</v>
      </c>
      <c r="L2" s="236">
        <v>93591.33</v>
      </c>
      <c r="M2" s="87" t="s">
        <v>98</v>
      </c>
      <c r="N2" s="87"/>
    </row>
    <row r="3" spans="1:15" x14ac:dyDescent="0.2">
      <c r="A3" s="65">
        <v>0.05</v>
      </c>
      <c r="B3" s="56">
        <v>10</v>
      </c>
      <c r="C3" s="54" t="s">
        <v>31</v>
      </c>
      <c r="D3" s="56">
        <v>10000</v>
      </c>
      <c r="E3" s="54" t="s">
        <v>82</v>
      </c>
      <c r="F3" s="56">
        <v>50000</v>
      </c>
      <c r="G3" s="249">
        <v>207223.65669436037</v>
      </c>
      <c r="H3" s="66">
        <v>0</v>
      </c>
      <c r="I3" s="84">
        <v>0.03</v>
      </c>
      <c r="J3" s="79">
        <v>15666.101019972177</v>
      </c>
      <c r="K3" s="79">
        <v>278491.26641913404</v>
      </c>
      <c r="L3" s="237">
        <v>154193.85999999999</v>
      </c>
      <c r="M3" s="87" t="s">
        <v>98</v>
      </c>
      <c r="N3" s="87"/>
    </row>
    <row r="4" spans="1:15" ht="13.2" x14ac:dyDescent="0.3">
      <c r="A4" s="65">
        <v>0.05</v>
      </c>
      <c r="B4" s="56">
        <v>10</v>
      </c>
      <c r="C4" s="54" t="s">
        <v>31</v>
      </c>
      <c r="D4" s="56">
        <v>10000</v>
      </c>
      <c r="E4" s="54" t="s">
        <v>82</v>
      </c>
      <c r="F4" s="56">
        <v>50000</v>
      </c>
      <c r="G4" s="79">
        <v>213512.60296213478</v>
      </c>
      <c r="H4" s="66">
        <v>1</v>
      </c>
      <c r="I4" s="84">
        <v>0.03</v>
      </c>
      <c r="J4" s="79">
        <v>15560.05639013737</v>
      </c>
      <c r="K4" s="79">
        <v>286943.08431721118</v>
      </c>
      <c r="L4" s="237">
        <v>158873.43</v>
      </c>
      <c r="M4" s="87" t="s">
        <v>98</v>
      </c>
      <c r="N4" s="88"/>
      <c r="O4" s="67" t="s">
        <v>140</v>
      </c>
    </row>
    <row r="5" spans="1:15" ht="13.2" x14ac:dyDescent="0.3">
      <c r="A5" s="289">
        <v>0.12</v>
      </c>
      <c r="B5" s="290">
        <v>20</v>
      </c>
      <c r="C5" s="291" t="s">
        <v>31</v>
      </c>
      <c r="D5" s="290">
        <v>5000</v>
      </c>
      <c r="E5" s="291" t="s">
        <v>83</v>
      </c>
      <c r="F5" s="290">
        <v>10000</v>
      </c>
      <c r="G5" s="292">
        <v>1713223.9983026655</v>
      </c>
      <c r="H5" s="293">
        <v>0</v>
      </c>
      <c r="I5" s="294">
        <v>7.0000000000000007E-2</v>
      </c>
      <c r="J5" s="292">
        <v>20298.624934836058</v>
      </c>
      <c r="K5" s="292">
        <v>6629636.2869902737</v>
      </c>
      <c r="L5" s="295">
        <v>442729.64</v>
      </c>
      <c r="M5" s="87" t="s">
        <v>98</v>
      </c>
      <c r="N5" s="88" t="s">
        <v>99</v>
      </c>
      <c r="O5" s="250">
        <v>150397.95000000001</v>
      </c>
    </row>
    <row r="6" spans="1:15" ht="13.2" x14ac:dyDescent="0.3">
      <c r="A6" s="65">
        <v>0.12</v>
      </c>
      <c r="B6" s="56">
        <v>60</v>
      </c>
      <c r="C6" s="54" t="s">
        <v>84</v>
      </c>
      <c r="D6" s="56">
        <v>5000</v>
      </c>
      <c r="E6" s="54" t="s">
        <v>83</v>
      </c>
      <c r="F6" s="56">
        <v>10000</v>
      </c>
      <c r="G6" s="249">
        <v>152412.98479159633</v>
      </c>
      <c r="H6" s="66">
        <v>0</v>
      </c>
      <c r="I6" s="84">
        <v>0.1</v>
      </c>
      <c r="J6" s="79">
        <v>8462.9086164495875</v>
      </c>
      <c r="K6" s="79">
        <v>245462.6361367139</v>
      </c>
      <c r="L6" s="237">
        <v>94636.47</v>
      </c>
      <c r="M6" s="87" t="s">
        <v>98</v>
      </c>
      <c r="N6" s="88" t="s">
        <v>99</v>
      </c>
      <c r="O6" s="251">
        <v>154209.64000000001</v>
      </c>
    </row>
    <row r="7" spans="1:15" ht="13.2" x14ac:dyDescent="0.3">
      <c r="A7" s="57">
        <v>0.12</v>
      </c>
      <c r="B7" s="58">
        <v>60</v>
      </c>
      <c r="C7" s="59" t="s">
        <v>84</v>
      </c>
      <c r="D7" s="58">
        <v>5000</v>
      </c>
      <c r="E7" s="59" t="s">
        <v>83</v>
      </c>
      <c r="F7" s="58">
        <v>10000</v>
      </c>
      <c r="G7" s="77">
        <v>156443.54096494342</v>
      </c>
      <c r="H7" s="60">
        <v>1</v>
      </c>
      <c r="I7" s="82">
        <v>0.1</v>
      </c>
      <c r="J7" s="77">
        <v>8450.9564237374652</v>
      </c>
      <c r="K7" s="77">
        <v>251953.88715945111</v>
      </c>
      <c r="L7" s="237">
        <v>97139.13</v>
      </c>
      <c r="M7" s="87" t="s">
        <v>98</v>
      </c>
      <c r="N7" s="88" t="s">
        <v>99</v>
      </c>
      <c r="O7" s="67"/>
    </row>
    <row r="8" spans="1:15" ht="13.2" x14ac:dyDescent="0.3">
      <c r="A8" s="65">
        <v>0.12</v>
      </c>
      <c r="B8" s="56">
        <v>60</v>
      </c>
      <c r="C8" s="54" t="s">
        <v>84</v>
      </c>
      <c r="D8" s="56">
        <v>5000</v>
      </c>
      <c r="E8" s="54" t="s">
        <v>83</v>
      </c>
      <c r="F8" s="56">
        <v>10000</v>
      </c>
      <c r="G8" s="79">
        <v>156443.54</v>
      </c>
      <c r="H8" s="66">
        <v>1</v>
      </c>
      <c r="I8" s="84">
        <v>0.1</v>
      </c>
      <c r="J8" s="79">
        <v>8450.9564036093016</v>
      </c>
      <c r="K8" s="79">
        <v>251953.88500809562</v>
      </c>
      <c r="L8" s="239">
        <v>97139.13</v>
      </c>
      <c r="M8" s="87" t="s">
        <v>98</v>
      </c>
      <c r="N8" s="88" t="s">
        <v>99</v>
      </c>
    </row>
    <row r="9" spans="1:15" ht="13.2" x14ac:dyDescent="0.3">
      <c r="A9" s="57">
        <v>0.11999999796071098</v>
      </c>
      <c r="B9" s="58">
        <v>60</v>
      </c>
      <c r="C9" s="59" t="s">
        <v>84</v>
      </c>
      <c r="D9" s="58">
        <v>5000</v>
      </c>
      <c r="E9" s="59" t="s">
        <v>83</v>
      </c>
      <c r="F9" s="58">
        <v>10000</v>
      </c>
      <c r="G9" s="77">
        <v>156443.54</v>
      </c>
      <c r="H9" s="60">
        <v>1</v>
      </c>
      <c r="I9" s="82">
        <v>0.1</v>
      </c>
      <c r="J9" s="77">
        <v>8450.9564220558605</v>
      </c>
      <c r="K9" s="77">
        <v>251953.88560540011</v>
      </c>
      <c r="L9" s="237">
        <v>97139.13</v>
      </c>
      <c r="M9" s="87" t="s">
        <v>98</v>
      </c>
      <c r="N9" s="88" t="s">
        <v>99</v>
      </c>
    </row>
    <row r="10" spans="1:15" ht="13.2" x14ac:dyDescent="0.3">
      <c r="A10" s="65">
        <v>0.12</v>
      </c>
      <c r="B10" s="56">
        <v>50</v>
      </c>
      <c r="C10" s="54" t="s">
        <v>31</v>
      </c>
      <c r="D10" s="56">
        <v>5000</v>
      </c>
      <c r="E10" s="54" t="s">
        <v>85</v>
      </c>
      <c r="F10" s="56">
        <v>0</v>
      </c>
      <c r="G10" s="79">
        <v>29883350.71044638</v>
      </c>
      <c r="H10" s="66">
        <v>1</v>
      </c>
      <c r="I10" s="84">
        <v>0.1</v>
      </c>
      <c r="J10" s="79">
        <v>586954.26439847855</v>
      </c>
      <c r="K10" s="79">
        <v>3508032026.8023615</v>
      </c>
      <c r="L10" s="239">
        <v>254562.86</v>
      </c>
      <c r="M10" s="87" t="s">
        <v>98</v>
      </c>
      <c r="N10" s="88" t="s">
        <v>100</v>
      </c>
    </row>
    <row r="11" spans="1:15" ht="13.2" x14ac:dyDescent="0.3">
      <c r="A11" s="163">
        <v>0.12</v>
      </c>
      <c r="B11" s="164">
        <v>60</v>
      </c>
      <c r="C11" s="165" t="s">
        <v>84</v>
      </c>
      <c r="D11" s="164">
        <v>5000</v>
      </c>
      <c r="E11" s="165" t="s">
        <v>85</v>
      </c>
      <c r="F11" s="164">
        <v>10000</v>
      </c>
      <c r="G11" s="166">
        <v>83812.451677333098</v>
      </c>
      <c r="H11" s="167">
        <v>0</v>
      </c>
      <c r="I11" s="168">
        <v>0.1</v>
      </c>
      <c r="J11" s="166">
        <v>8882.0374717312698</v>
      </c>
      <c r="K11" s="166">
        <v>134980.79155086179</v>
      </c>
      <c r="L11" s="238">
        <v>52040.94</v>
      </c>
      <c r="M11" s="87" t="s">
        <v>98</v>
      </c>
      <c r="N11" s="88" t="s">
        <v>100</v>
      </c>
    </row>
    <row r="12" spans="1:15" ht="13.2" x14ac:dyDescent="0.3">
      <c r="A12" s="57">
        <v>0.09</v>
      </c>
      <c r="B12" s="58">
        <v>36</v>
      </c>
      <c r="C12" s="59" t="s">
        <v>84</v>
      </c>
      <c r="D12" s="58">
        <v>5000</v>
      </c>
      <c r="E12" s="59" t="s">
        <v>86</v>
      </c>
      <c r="F12" s="58">
        <v>0</v>
      </c>
      <c r="G12" s="249">
        <v>205763.58061102504</v>
      </c>
      <c r="H12" s="60">
        <v>0</v>
      </c>
      <c r="I12" s="82">
        <v>0.1</v>
      </c>
      <c r="J12" s="77">
        <v>6655</v>
      </c>
      <c r="K12" s="77">
        <v>273871.32579327439</v>
      </c>
      <c r="L12" s="252">
        <v>154593.22</v>
      </c>
      <c r="M12" s="87" t="s">
        <v>98</v>
      </c>
      <c r="N12" s="88" t="s">
        <v>101</v>
      </c>
    </row>
    <row r="13" spans="1:15" ht="13.2" x14ac:dyDescent="0.3">
      <c r="A13" s="65">
        <v>0.2</v>
      </c>
      <c r="B13" s="56">
        <v>36</v>
      </c>
      <c r="C13" s="54" t="s">
        <v>84</v>
      </c>
      <c r="D13" s="56">
        <v>5000</v>
      </c>
      <c r="E13" s="54" t="s">
        <v>82</v>
      </c>
      <c r="F13" s="56">
        <v>0</v>
      </c>
      <c r="G13" s="79">
        <v>18200</v>
      </c>
      <c r="H13" s="66">
        <v>0</v>
      </c>
      <c r="I13" s="84">
        <v>0.1</v>
      </c>
      <c r="J13" s="79">
        <v>6655</v>
      </c>
      <c r="K13" s="79">
        <v>24224.2</v>
      </c>
      <c r="L13" s="239">
        <v>13673.93</v>
      </c>
      <c r="M13" s="87" t="s">
        <v>98</v>
      </c>
      <c r="N13" s="88"/>
    </row>
    <row r="14" spans="1:15" ht="13.2" x14ac:dyDescent="0.3">
      <c r="A14" s="57">
        <v>0.2</v>
      </c>
      <c r="B14" s="58">
        <v>36</v>
      </c>
      <c r="C14" s="59" t="s">
        <v>84</v>
      </c>
      <c r="D14" s="58">
        <v>5000</v>
      </c>
      <c r="E14" s="59" t="s">
        <v>82</v>
      </c>
      <c r="F14" s="58">
        <v>50000</v>
      </c>
      <c r="G14" s="77">
        <v>104600</v>
      </c>
      <c r="H14" s="60">
        <v>0</v>
      </c>
      <c r="I14" s="82">
        <v>0.1</v>
      </c>
      <c r="J14" s="77">
        <v>14511.703296703308</v>
      </c>
      <c r="K14" s="77">
        <v>139222.6</v>
      </c>
      <c r="L14" s="237">
        <v>78587.53</v>
      </c>
      <c r="M14" s="87" t="s">
        <v>98</v>
      </c>
      <c r="N14" s="88"/>
    </row>
    <row r="15" spans="1:15" ht="13.2" x14ac:dyDescent="0.3">
      <c r="A15" s="65">
        <v>0.1</v>
      </c>
      <c r="B15" s="56">
        <v>5</v>
      </c>
      <c r="C15" s="54" t="s">
        <v>31</v>
      </c>
      <c r="D15" s="56">
        <v>5000</v>
      </c>
      <c r="E15" s="54" t="s">
        <v>86</v>
      </c>
      <c r="F15" s="56">
        <v>30000</v>
      </c>
      <c r="G15" s="79">
        <v>436544.62891050836</v>
      </c>
      <c r="H15" s="66">
        <v>0</v>
      </c>
      <c r="I15" s="84">
        <v>0.1</v>
      </c>
      <c r="J15" s="79">
        <v>8441.6959980002957</v>
      </c>
      <c r="K15" s="79">
        <v>703059.49030666309</v>
      </c>
      <c r="L15" s="239">
        <v>271059.87</v>
      </c>
      <c r="M15" s="87" t="s">
        <v>98</v>
      </c>
      <c r="N15" s="88"/>
    </row>
    <row r="16" spans="1:15" x14ac:dyDescent="0.2">
      <c r="A16" s="57"/>
      <c r="B16" s="58"/>
      <c r="C16" s="59"/>
      <c r="D16" s="58"/>
      <c r="E16" s="59"/>
      <c r="F16" s="58"/>
      <c r="G16" s="77"/>
      <c r="H16" s="60"/>
      <c r="I16" s="82"/>
      <c r="J16" s="77"/>
      <c r="K16" s="77"/>
    </row>
    <row r="17" spans="1:14" x14ac:dyDescent="0.2">
      <c r="A17" s="57"/>
      <c r="B17" s="58"/>
      <c r="C17" s="59"/>
      <c r="D17" s="58"/>
      <c r="E17" s="59"/>
      <c r="F17" s="58"/>
      <c r="G17" s="77"/>
      <c r="H17" s="60"/>
      <c r="I17" s="82"/>
      <c r="J17" s="77"/>
      <c r="K17" s="77"/>
    </row>
    <row r="18" spans="1:14" x14ac:dyDescent="0.2">
      <c r="A18" s="71">
        <f>Eingabe!$H$8</f>
        <v>0.05</v>
      </c>
      <c r="B18" s="72">
        <f>Eingabe!$H$9</f>
        <v>10</v>
      </c>
      <c r="C18" s="73" t="str">
        <f>Formeln!$J$11</f>
        <v>Jahre</v>
      </c>
      <c r="D18" s="72">
        <f>Eingabe!$H$10</f>
        <v>5000</v>
      </c>
      <c r="E18" s="73" t="str">
        <f>Formeln!$J$20</f>
        <v>jährlich</v>
      </c>
      <c r="F18" s="72">
        <f>Eingabe!$H$11</f>
        <v>10000</v>
      </c>
      <c r="G18" s="78">
        <f>Eingabe!$H$12</f>
        <v>79178.408945518575</v>
      </c>
      <c r="H18" s="74">
        <f>Eingabe!$H$13</f>
        <v>0</v>
      </c>
      <c r="I18" s="83">
        <f>Eingabe!$I$5</f>
        <v>0.02</v>
      </c>
      <c r="J18" s="78">
        <f>Eingabe!$I$10</f>
        <v>5000</v>
      </c>
      <c r="K18" s="78">
        <f>Eingabe!$I$12</f>
        <v>64953.873165275931</v>
      </c>
      <c r="L18" s="67" t="s">
        <v>97</v>
      </c>
    </row>
    <row r="19" spans="1:14" x14ac:dyDescent="0.2">
      <c r="A19" s="71">
        <f>Eingabe!$H$8</f>
        <v>0.05</v>
      </c>
      <c r="B19" s="72">
        <f>Eingabe!$H$9</f>
        <v>10</v>
      </c>
      <c r="C19" s="73" t="str">
        <f>Formeln!$J$11</f>
        <v>Jahre</v>
      </c>
      <c r="D19" s="72">
        <f>Eingabe!$H$10</f>
        <v>5000</v>
      </c>
      <c r="E19" s="73" t="str">
        <f>Formeln!$J$20</f>
        <v>jährlich</v>
      </c>
      <c r="F19" s="72">
        <f>Eingabe!$H$11</f>
        <v>10000</v>
      </c>
      <c r="G19" s="78">
        <f>Eingabe!$H$12</f>
        <v>79178.408945518575</v>
      </c>
      <c r="H19" s="74">
        <f>Eingabe!$H$13</f>
        <v>0</v>
      </c>
      <c r="I19" s="83">
        <f>Eingabe!$I$5</f>
        <v>0.02</v>
      </c>
      <c r="J19" s="78">
        <f>Eingabe!$I$10</f>
        <v>5000</v>
      </c>
      <c r="K19" s="78">
        <f>Eingabe!$I$12</f>
        <v>64953.873165275931</v>
      </c>
      <c r="L19" s="67" t="s">
        <v>97</v>
      </c>
    </row>
    <row r="20" spans="1:14" x14ac:dyDescent="0.2">
      <c r="A20" s="65"/>
      <c r="B20" s="56"/>
      <c r="D20" s="56"/>
      <c r="F20" s="56"/>
      <c r="G20" s="79"/>
      <c r="H20" s="66"/>
      <c r="I20" s="84"/>
      <c r="J20" s="79"/>
      <c r="K20" s="66"/>
    </row>
    <row r="21" spans="1:14" x14ac:dyDescent="0.2">
      <c r="A21" s="55" t="s">
        <v>75</v>
      </c>
      <c r="B21" s="55" t="s">
        <v>7</v>
      </c>
      <c r="C21" s="55" t="s">
        <v>79</v>
      </c>
      <c r="D21" s="55" t="s">
        <v>87</v>
      </c>
      <c r="E21" s="55" t="s">
        <v>80</v>
      </c>
      <c r="F21" s="55" t="s">
        <v>88</v>
      </c>
      <c r="G21" s="80" t="s">
        <v>89</v>
      </c>
      <c r="H21" s="55" t="s">
        <v>81</v>
      </c>
      <c r="I21" s="85" t="s">
        <v>54</v>
      </c>
      <c r="J21" s="80" t="s">
        <v>90</v>
      </c>
      <c r="K21" s="55" t="s">
        <v>91</v>
      </c>
      <c r="L21" s="240" t="s">
        <v>98</v>
      </c>
      <c r="N21" s="89" t="s">
        <v>96</v>
      </c>
    </row>
    <row r="22" spans="1:14" x14ac:dyDescent="0.2">
      <c r="A22" s="169">
        <v>0.12</v>
      </c>
      <c r="B22" s="170">
        <v>36</v>
      </c>
      <c r="C22" s="171" t="s">
        <v>84</v>
      </c>
      <c r="D22" s="170">
        <v>1000</v>
      </c>
      <c r="E22" s="171" t="s">
        <v>82</v>
      </c>
      <c r="F22" s="170">
        <v>2500</v>
      </c>
      <c r="G22" s="172">
        <v>137.91999999999734</v>
      </c>
      <c r="H22" s="173">
        <v>0</v>
      </c>
      <c r="I22" s="174">
        <v>0</v>
      </c>
      <c r="J22" s="172">
        <v>1040.8724513987663</v>
      </c>
      <c r="K22" s="173">
        <v>0</v>
      </c>
      <c r="L22" s="240" t="s">
        <v>98</v>
      </c>
      <c r="N22" s="87" t="s">
        <v>98</v>
      </c>
    </row>
    <row r="23" spans="1:14" x14ac:dyDescent="0.2">
      <c r="A23" s="61">
        <v>0.12</v>
      </c>
      <c r="B23" s="62">
        <v>10</v>
      </c>
      <c r="C23" s="63" t="s">
        <v>31</v>
      </c>
      <c r="D23" s="62">
        <v>700</v>
      </c>
      <c r="E23" s="63" t="s">
        <v>83</v>
      </c>
      <c r="F23" s="62">
        <v>20000</v>
      </c>
      <c r="G23" s="81">
        <v>12459.874026669757</v>
      </c>
      <c r="H23" s="64">
        <v>0</v>
      </c>
      <c r="I23" s="86">
        <v>0</v>
      </c>
      <c r="J23" s="81">
        <v>865.24755780925796</v>
      </c>
      <c r="K23" s="64">
        <v>0</v>
      </c>
      <c r="L23" s="240" t="s">
        <v>98</v>
      </c>
      <c r="N23" s="87" t="s">
        <v>98</v>
      </c>
    </row>
    <row r="24" spans="1:14" x14ac:dyDescent="0.2">
      <c r="A24" s="169">
        <v>0.12</v>
      </c>
      <c r="B24" s="170">
        <v>10</v>
      </c>
      <c r="C24" s="171" t="s">
        <v>31</v>
      </c>
      <c r="D24" s="170">
        <v>700</v>
      </c>
      <c r="E24" s="171" t="s">
        <v>83</v>
      </c>
      <c r="F24" s="170">
        <v>20000</v>
      </c>
      <c r="G24" s="172">
        <v>10876.447572270408</v>
      </c>
      <c r="H24" s="173">
        <v>1</v>
      </c>
      <c r="I24" s="174">
        <v>0</v>
      </c>
      <c r="J24" s="172">
        <v>840.04617263034743</v>
      </c>
      <c r="K24" s="173">
        <v>0</v>
      </c>
      <c r="L24" s="240" t="s">
        <v>98</v>
      </c>
      <c r="N24" s="87" t="s">
        <v>98</v>
      </c>
    </row>
    <row r="25" spans="1:14" x14ac:dyDescent="0.2">
      <c r="A25" s="61">
        <v>0.12</v>
      </c>
      <c r="B25" s="62">
        <v>45</v>
      </c>
      <c r="C25" s="63" t="s">
        <v>84</v>
      </c>
      <c r="D25" s="62">
        <v>700</v>
      </c>
      <c r="E25" s="63" t="s">
        <v>83</v>
      </c>
      <c r="F25" s="62">
        <v>20000</v>
      </c>
      <c r="G25" s="81">
        <v>18140.108611330783</v>
      </c>
      <c r="H25" s="64">
        <v>0</v>
      </c>
      <c r="I25" s="86">
        <v>0</v>
      </c>
      <c r="J25" s="81">
        <v>1675.331609245761</v>
      </c>
      <c r="K25" s="64">
        <v>0</v>
      </c>
      <c r="L25" s="240" t="s">
        <v>98</v>
      </c>
      <c r="N25" s="87" t="s">
        <v>98</v>
      </c>
    </row>
    <row r="26" spans="1:14" x14ac:dyDescent="0.2">
      <c r="A26" s="169">
        <v>0.11999946879747288</v>
      </c>
      <c r="B26" s="170">
        <v>45</v>
      </c>
      <c r="C26" s="171" t="s">
        <v>84</v>
      </c>
      <c r="D26" s="170">
        <v>1675.33</v>
      </c>
      <c r="E26" s="171" t="s">
        <v>83</v>
      </c>
      <c r="F26" s="170">
        <v>20000</v>
      </c>
      <c r="G26" s="172">
        <v>0</v>
      </c>
      <c r="H26" s="173">
        <v>0</v>
      </c>
      <c r="I26" s="174">
        <v>0</v>
      </c>
      <c r="J26" s="172">
        <v>1675.33</v>
      </c>
      <c r="K26" s="173">
        <v>0</v>
      </c>
      <c r="L26" s="240" t="s">
        <v>98</v>
      </c>
      <c r="N26" s="87" t="s">
        <v>98</v>
      </c>
    </row>
    <row r="27" spans="1:14" x14ac:dyDescent="0.2">
      <c r="A27" s="277">
        <v>0.05</v>
      </c>
      <c r="B27" s="278">
        <v>3</v>
      </c>
      <c r="C27" s="257" t="s">
        <v>31</v>
      </c>
      <c r="D27" s="278">
        <v>5000</v>
      </c>
      <c r="E27" s="278" t="s">
        <v>82</v>
      </c>
      <c r="F27" s="279">
        <v>15000</v>
      </c>
      <c r="G27" s="278">
        <v>0</v>
      </c>
      <c r="H27" s="278">
        <v>0</v>
      </c>
      <c r="I27" s="278"/>
      <c r="J27" s="280">
        <v>1601.8749999999909</v>
      </c>
      <c r="K27" s="278">
        <v>0</v>
      </c>
      <c r="N27" s="87"/>
    </row>
    <row r="28" spans="1:14" x14ac:dyDescent="0.2">
      <c r="N28" s="87"/>
    </row>
    <row r="29" spans="1:14" x14ac:dyDescent="0.2">
      <c r="A29" s="241" t="s">
        <v>133</v>
      </c>
      <c r="B29" s="242"/>
      <c r="C29" s="242"/>
      <c r="E29" s="84"/>
      <c r="F29" s="67"/>
      <c r="N29" s="87"/>
    </row>
    <row r="30" spans="1:14" x14ac:dyDescent="0.2">
      <c r="A30" s="243">
        <v>0.02</v>
      </c>
      <c r="B30" s="54">
        <v>2</v>
      </c>
      <c r="C30" s="67" t="s">
        <v>60</v>
      </c>
      <c r="D30" s="54">
        <v>1000</v>
      </c>
      <c r="E30" s="244" t="s">
        <v>66</v>
      </c>
      <c r="F30" s="67">
        <v>20000</v>
      </c>
      <c r="G30" s="54">
        <v>0</v>
      </c>
      <c r="H30" s="54">
        <v>0</v>
      </c>
      <c r="J30" s="237">
        <v>-3650.15</v>
      </c>
      <c r="K30" s="54">
        <v>850.81</v>
      </c>
      <c r="L30" s="240" t="s">
        <v>98</v>
      </c>
      <c r="M30" s="67" t="s">
        <v>134</v>
      </c>
      <c r="N30" s="87"/>
    </row>
    <row r="31" spans="1:14" x14ac:dyDescent="0.2">
      <c r="A31" s="243">
        <v>0.02</v>
      </c>
      <c r="B31" s="54">
        <v>2</v>
      </c>
      <c r="C31" s="67" t="s">
        <v>60</v>
      </c>
      <c r="D31" s="54">
        <v>1000</v>
      </c>
      <c r="E31" s="244" t="s">
        <v>135</v>
      </c>
      <c r="F31" s="67">
        <v>20000</v>
      </c>
      <c r="G31" s="54">
        <v>0</v>
      </c>
      <c r="H31" s="54">
        <v>0</v>
      </c>
      <c r="J31" s="237">
        <v>-19742.96</v>
      </c>
      <c r="K31" s="54">
        <v>552.91</v>
      </c>
      <c r="M31" s="67" t="s">
        <v>134</v>
      </c>
      <c r="N31" s="87"/>
    </row>
    <row r="32" spans="1:14" x14ac:dyDescent="0.2">
      <c r="J32" s="237"/>
      <c r="N32" s="87"/>
    </row>
    <row r="33" spans="1:14" x14ac:dyDescent="0.2">
      <c r="A33" s="245">
        <v>-0.02</v>
      </c>
      <c r="B33" s="54">
        <v>10</v>
      </c>
      <c r="C33" s="67" t="s">
        <v>60</v>
      </c>
      <c r="D33" s="246">
        <v>-1000</v>
      </c>
      <c r="E33" s="67" t="s">
        <v>70</v>
      </c>
      <c r="F33" s="54">
        <v>20000</v>
      </c>
      <c r="G33" s="248" t="s">
        <v>138</v>
      </c>
      <c r="H33" s="54">
        <v>0</v>
      </c>
      <c r="J33" s="237">
        <v>7195.1</v>
      </c>
      <c r="K33" s="240"/>
      <c r="L33" s="240" t="s">
        <v>98</v>
      </c>
      <c r="M33" s="67" t="s">
        <v>134</v>
      </c>
      <c r="N33" s="87"/>
    </row>
    <row r="34" spans="1:14" x14ac:dyDescent="0.2">
      <c r="A34" s="245">
        <v>-0.02</v>
      </c>
      <c r="B34" s="54">
        <v>10</v>
      </c>
      <c r="C34" s="67" t="s">
        <v>136</v>
      </c>
      <c r="D34" s="246">
        <v>-1000</v>
      </c>
      <c r="E34" s="67" t="s">
        <v>137</v>
      </c>
      <c r="F34" s="54">
        <v>20000</v>
      </c>
      <c r="G34" s="248" t="s">
        <v>138</v>
      </c>
      <c r="H34" s="54">
        <v>0</v>
      </c>
      <c r="J34" s="247">
        <v>-1851.17</v>
      </c>
      <c r="L34" s="240" t="s">
        <v>98</v>
      </c>
      <c r="M34" s="67" t="s">
        <v>134</v>
      </c>
      <c r="N34" s="87"/>
    </row>
    <row r="35" spans="1:14" x14ac:dyDescent="0.2">
      <c r="J35" s="237"/>
    </row>
    <row r="36" spans="1:14" x14ac:dyDescent="0.2">
      <c r="A36" s="253">
        <v>-3.9775777127040862E-2</v>
      </c>
      <c r="B36" s="54">
        <v>10</v>
      </c>
      <c r="C36" s="67" t="s">
        <v>60</v>
      </c>
      <c r="D36" s="54">
        <v>1</v>
      </c>
      <c r="E36" s="67" t="s">
        <v>70</v>
      </c>
      <c r="F36" s="54">
        <v>30000</v>
      </c>
      <c r="G36" s="54">
        <v>20000</v>
      </c>
      <c r="H36" s="54">
        <v>0</v>
      </c>
      <c r="J36" s="237"/>
    </row>
    <row r="37" spans="1:14" x14ac:dyDescent="0.2">
      <c r="A37" s="245">
        <v>-0.02</v>
      </c>
      <c r="B37" s="54">
        <v>10</v>
      </c>
      <c r="C37" s="67" t="s">
        <v>60</v>
      </c>
      <c r="D37" s="54">
        <v>1</v>
      </c>
      <c r="E37" s="67" t="s">
        <v>70</v>
      </c>
      <c r="F37" s="54">
        <v>30000</v>
      </c>
      <c r="G37" s="54">
        <v>20000</v>
      </c>
      <c r="H37" s="54">
        <v>0</v>
      </c>
      <c r="J37" s="54">
        <v>24521.33</v>
      </c>
    </row>
    <row r="76" spans="1:4" ht="13.2" x14ac:dyDescent="0.25">
      <c r="A76" s="298"/>
    </row>
    <row r="77" spans="1:4" ht="13.8" x14ac:dyDescent="0.25">
      <c r="A77" s="301" t="s">
        <v>189</v>
      </c>
      <c r="B77" s="296"/>
      <c r="C77" s="296"/>
      <c r="D77" s="296"/>
    </row>
    <row r="78" spans="1:4" ht="13.8" x14ac:dyDescent="0.25">
      <c r="A78" s="298"/>
      <c r="B78" s="297"/>
      <c r="C78" s="297"/>
      <c r="D78" s="297"/>
    </row>
    <row r="79" spans="1:4" ht="13.8" x14ac:dyDescent="0.25">
      <c r="A79" s="301" t="s">
        <v>188</v>
      </c>
      <c r="B79" s="296"/>
      <c r="C79" s="296"/>
      <c r="D79" s="296"/>
    </row>
    <row r="80" spans="1:4" ht="13.2" x14ac:dyDescent="0.25">
      <c r="A80" s="298"/>
    </row>
    <row r="81" spans="1:4" ht="13.8" x14ac:dyDescent="0.25">
      <c r="A81" s="301" t="s">
        <v>187</v>
      </c>
      <c r="B81" s="296"/>
      <c r="C81" s="296"/>
      <c r="D81" s="296"/>
    </row>
  </sheetData>
  <sheetProtection sheet="1" objects="1" scenarios="1" selectLockedCells="1"/>
  <hyperlinks>
    <hyperlink ref="A81" r:id="rId1" xr:uid="{F68EB2D0-F677-4087-BF59-DC1A3F755B8B}"/>
    <hyperlink ref="A79" r:id="rId2" xr:uid="{7ACF52D2-F5A9-4626-B856-717C842B2FD0}"/>
    <hyperlink ref="A77" r:id="rId3" xr:uid="{5F34E463-8D82-4758-A24C-1E4F536DF977}"/>
  </hyperlinks>
  <pageMargins left="0.78740157499999996" right="0.78740157499999996" top="0.984251969" bottom="0.984251969" header="0.4921259845" footer="0.4921259845"/>
  <pageSetup paperSize="9" orientation="landscape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23</vt:i4>
      </vt:variant>
    </vt:vector>
  </HeadingPairs>
  <TitlesOfParts>
    <vt:vector size="29" baseType="lpstr">
      <vt:lpstr>Eingabe</vt:lpstr>
      <vt:lpstr>Details</vt:lpstr>
      <vt:lpstr>Kredit mit Sondertilgung</vt:lpstr>
      <vt:lpstr>Hilfe</vt:lpstr>
      <vt:lpstr>Formeln</vt:lpstr>
      <vt:lpstr>Kontrolle</vt:lpstr>
      <vt:lpstr>Beg_Bal</vt:lpstr>
      <vt:lpstr>Data</vt:lpstr>
      <vt:lpstr>Details!Druckbereich</vt:lpstr>
      <vt:lpstr>Eingabe!Druckbereich</vt:lpstr>
      <vt:lpstr>'Kredit mit Sondertilgung'!Druckbereich</vt:lpstr>
      <vt:lpstr>'Kredit mit Sondertilgung'!Drucktitel</vt:lpstr>
      <vt:lpstr>End_Bal</vt:lpstr>
      <vt:lpstr>Extra_Pay</vt:lpstr>
      <vt:lpstr>'Kredit mit Sondertilgung'!Full_Print</vt:lpstr>
      <vt:lpstr>Int</vt:lpstr>
      <vt:lpstr>'Kredit mit Sondertilgung'!Interest_Rate</vt:lpstr>
      <vt:lpstr>'Kredit mit Sondertilgung'!Loan_Amount</vt:lpstr>
      <vt:lpstr>'Kredit mit Sondertilgung'!Loan_Start</vt:lpstr>
      <vt:lpstr>'Kredit mit Sondertilgung'!Loan_Years</vt:lpstr>
      <vt:lpstr>Pay_Date</vt:lpstr>
      <vt:lpstr>Pay_Num</vt:lpstr>
      <vt:lpstr>Princ</vt:lpstr>
      <vt:lpstr>Sched_Pay</vt:lpstr>
      <vt:lpstr>Scheduled_Extra_Payments</vt:lpstr>
      <vt:lpstr>Scheduled_Interest_Rate</vt:lpstr>
      <vt:lpstr>Scheduled_Monthly_Payment</vt:lpstr>
      <vt:lpstr>'Kredit mit Sondertilgung'!Total_Interest</vt:lpstr>
      <vt:lpstr>Total_Pay</vt:lpstr>
    </vt:vector>
  </TitlesOfParts>
  <Manager>Marcel Bouvrot</Manager>
  <Company>Glauser+Partner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Vorsorge- und Zinsrechner</dc:title>
  <dc:subject>Spar- und Kreditrechner, Vorsorge und Pensionsplanung</dc:subject>
  <dc:creator>M. BOUVROT @ GLAUSER+PARTNER BERNl</dc:creator>
  <cp:lastModifiedBy>Marcel Bouvrot</cp:lastModifiedBy>
  <cp:lastPrinted>2023-02-07T19:48:42Z</cp:lastPrinted>
  <dcterms:created xsi:type="dcterms:W3CDTF">1999-04-21T10:26:13Z</dcterms:created>
  <dcterms:modified xsi:type="dcterms:W3CDTF">2026-03-09T22:41:52Z</dcterms:modified>
</cp:coreProperties>
</file>